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ляскин\Desktop\"/>
    </mc:Choice>
  </mc:AlternateContent>
  <xr:revisionPtr revIDLastSave="0" documentId="13_ncr:1_{D0E1528D-D3D8-4CFD-9526-F7A927FC55BA}" xr6:coauthVersionLast="40" xr6:coauthVersionMax="40" xr10:uidLastSave="{00000000-0000-0000-0000-000000000000}"/>
  <bookViews>
    <workbookView xWindow="360" yWindow="1860" windowWidth="22995" windowHeight="1027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Лист1!$A$444:$G$1416</definedName>
    <definedName name="_xlnm.Print_Titles" localSheetId="0">Лист1!$4:$5</definedName>
  </definedNames>
  <calcPr calcId="181029"/>
</workbook>
</file>

<file path=xl/calcChain.xml><?xml version="1.0" encoding="utf-8"?>
<calcChain xmlns="http://schemas.openxmlformats.org/spreadsheetml/2006/main">
  <c r="I1407" i="1" l="1"/>
  <c r="J1374" i="1"/>
  <c r="K320" i="1" l="1"/>
  <c r="J320" i="1"/>
  <c r="I320" i="1"/>
  <c r="H320" i="1"/>
  <c r="K1373" i="1"/>
  <c r="J1373" i="1"/>
  <c r="I1373" i="1"/>
  <c r="H1373" i="1" l="1"/>
  <c r="G1373" i="1"/>
  <c r="I1374" i="1" l="1"/>
  <c r="K1374" i="1"/>
  <c r="H1374" i="1"/>
  <c r="H1406" i="1" l="1"/>
  <c r="H1407" i="1" s="1"/>
  <c r="I1406" i="1"/>
  <c r="J1406" i="1"/>
  <c r="J1407" i="1" s="1"/>
  <c r="K1406" i="1"/>
  <c r="K1407" i="1" s="1"/>
  <c r="G1406" i="1"/>
  <c r="I1028" i="1" l="1"/>
  <c r="K1048" i="1"/>
  <c r="J1048" i="1"/>
  <c r="I1048" i="1"/>
  <c r="H1048" i="1"/>
  <c r="K659" i="1"/>
  <c r="I630" i="1"/>
  <c r="G1041" i="1"/>
  <c r="G1053" i="1"/>
  <c r="G910" i="1" l="1"/>
  <c r="G1045" i="1"/>
  <c r="G471" i="1" l="1"/>
  <c r="K1028" i="1"/>
  <c r="J1028" i="1"/>
  <c r="H1028" i="1"/>
  <c r="G1016" i="1"/>
  <c r="K920" i="1"/>
  <c r="J920" i="1"/>
  <c r="I920" i="1"/>
  <c r="H920" i="1"/>
  <c r="K1056" i="1"/>
  <c r="J1056" i="1"/>
  <c r="I1056" i="1"/>
  <c r="H1056" i="1"/>
  <c r="K1065" i="1"/>
  <c r="J1065" i="1"/>
  <c r="I1065" i="1"/>
  <c r="H1065" i="1"/>
  <c r="K1071" i="1"/>
  <c r="J1071" i="1"/>
  <c r="I1071" i="1"/>
  <c r="H1071" i="1"/>
  <c r="K1008" i="1"/>
  <c r="J1008" i="1"/>
  <c r="I1008" i="1"/>
  <c r="H1008" i="1"/>
  <c r="K1001" i="1"/>
  <c r="J1001" i="1"/>
  <c r="I1001" i="1"/>
  <c r="H1001" i="1"/>
  <c r="K1002" i="1"/>
  <c r="J1002" i="1"/>
  <c r="I1002" i="1"/>
  <c r="H1002" i="1"/>
  <c r="K1076" i="1"/>
  <c r="J1076" i="1"/>
  <c r="I1076" i="1"/>
  <c r="H1076" i="1"/>
  <c r="K1007" i="1"/>
  <c r="J1007" i="1"/>
  <c r="I1007" i="1"/>
  <c r="H1007" i="1"/>
  <c r="K923" i="1"/>
  <c r="J923" i="1"/>
  <c r="I923" i="1"/>
  <c r="H923" i="1"/>
  <c r="K922" i="1"/>
  <c r="J922" i="1"/>
  <c r="I922" i="1"/>
  <c r="H922" i="1"/>
  <c r="K985" i="1"/>
  <c r="J985" i="1"/>
  <c r="I985" i="1"/>
  <c r="H985" i="1"/>
  <c r="K969" i="1"/>
  <c r="J969" i="1"/>
  <c r="I969" i="1"/>
  <c r="H969" i="1"/>
  <c r="K1053" i="1"/>
  <c r="J1053" i="1"/>
  <c r="I1053" i="1"/>
  <c r="H1053" i="1"/>
  <c r="G1049" i="1"/>
  <c r="H1045" i="1"/>
  <c r="G1042" i="1"/>
  <c r="K1041" i="1"/>
  <c r="J1041" i="1"/>
  <c r="I1041" i="1"/>
  <c r="H1041" i="1"/>
  <c r="G1038" i="1"/>
  <c r="K1020" i="1" l="1"/>
  <c r="J1020" i="1"/>
  <c r="I1020" i="1"/>
  <c r="H1020" i="1"/>
  <c r="G958" i="1"/>
  <c r="K953" i="1"/>
  <c r="J953" i="1"/>
  <c r="I953" i="1"/>
  <c r="H953" i="1"/>
  <c r="G952" i="1"/>
  <c r="G946" i="1"/>
  <c r="K947" i="1"/>
  <c r="J947" i="1"/>
  <c r="I947" i="1"/>
  <c r="H947" i="1"/>
  <c r="G939" i="1"/>
  <c r="K940" i="1"/>
  <c r="J940" i="1"/>
  <c r="I940" i="1"/>
  <c r="H940" i="1"/>
  <c r="K938" i="1"/>
  <c r="J938" i="1"/>
  <c r="I938" i="1"/>
  <c r="H938" i="1"/>
  <c r="G918" i="1"/>
  <c r="K917" i="1"/>
  <c r="J917" i="1"/>
  <c r="I917" i="1"/>
  <c r="H917" i="1"/>
  <c r="G917" i="1"/>
  <c r="G912" i="1"/>
  <c r="K911" i="1" l="1"/>
  <c r="G911" i="1"/>
  <c r="I911" i="1"/>
  <c r="H911" i="1"/>
  <c r="J911" i="1"/>
  <c r="K910" i="1"/>
  <c r="J910" i="1"/>
  <c r="I910" i="1"/>
  <c r="H910" i="1"/>
  <c r="G904" i="1"/>
  <c r="G903" i="1"/>
  <c r="K903" i="1"/>
  <c r="J903" i="1"/>
  <c r="I903" i="1"/>
  <c r="H903" i="1"/>
  <c r="G896" i="1"/>
  <c r="K592" i="1"/>
  <c r="J592" i="1"/>
  <c r="I592" i="1"/>
  <c r="H592" i="1"/>
  <c r="K481" i="1"/>
  <c r="J481" i="1"/>
  <c r="I481" i="1"/>
  <c r="H481" i="1"/>
  <c r="K472" i="1"/>
  <c r="J472" i="1"/>
  <c r="I472" i="1"/>
  <c r="H472" i="1"/>
  <c r="K471" i="1"/>
  <c r="J471" i="1"/>
  <c r="I471" i="1"/>
  <c r="H471" i="1"/>
  <c r="K470" i="1"/>
  <c r="J470" i="1"/>
  <c r="I470" i="1"/>
  <c r="H470" i="1"/>
  <c r="K469" i="1"/>
  <c r="J469" i="1"/>
  <c r="I469" i="1"/>
  <c r="H469" i="1"/>
  <c r="G468" i="1"/>
  <c r="G987" i="1"/>
  <c r="G986" i="1"/>
  <c r="G858" i="1"/>
  <c r="G871" i="1"/>
  <c r="G864" i="1"/>
  <c r="G875" i="1"/>
  <c r="G862" i="1"/>
  <c r="G863" i="1"/>
  <c r="G869" i="1"/>
  <c r="G865" i="1"/>
  <c r="G866" i="1"/>
  <c r="G868" i="1"/>
  <c r="K755" i="1"/>
  <c r="J755" i="1"/>
  <c r="I755" i="1"/>
  <c r="H755" i="1"/>
  <c r="K751" i="1"/>
  <c r="J751" i="1"/>
  <c r="I751" i="1"/>
  <c r="H751" i="1"/>
  <c r="K546" i="1"/>
  <c r="J546" i="1"/>
  <c r="I546" i="1"/>
  <c r="H546" i="1"/>
  <c r="K747" i="1"/>
  <c r="J747" i="1"/>
  <c r="I747" i="1"/>
  <c r="H747" i="1"/>
  <c r="K731" i="1"/>
  <c r="J731" i="1"/>
  <c r="I731" i="1"/>
  <c r="H731" i="1"/>
  <c r="K727" i="1"/>
  <c r="J727" i="1"/>
  <c r="I727" i="1"/>
  <c r="H727" i="1"/>
  <c r="K759" i="1"/>
  <c r="J759" i="1"/>
  <c r="I759" i="1"/>
  <c r="H759" i="1"/>
  <c r="K693" i="1"/>
  <c r="J693" i="1"/>
  <c r="I693" i="1"/>
  <c r="H693" i="1"/>
  <c r="G693" i="1"/>
  <c r="G689" i="1"/>
  <c r="K688" i="1"/>
  <c r="J688" i="1"/>
  <c r="I688" i="1"/>
  <c r="H688" i="1"/>
  <c r="G688" i="1"/>
  <c r="G683" i="1"/>
  <c r="K679" i="1"/>
  <c r="J679" i="1"/>
  <c r="I679" i="1"/>
  <c r="H679" i="1"/>
  <c r="K675" i="1"/>
  <c r="J675" i="1"/>
  <c r="I675" i="1"/>
  <c r="H675" i="1"/>
  <c r="K668" i="1"/>
  <c r="J668" i="1"/>
  <c r="I668" i="1"/>
  <c r="H668" i="1"/>
  <c r="J659" i="1"/>
  <c r="I659" i="1"/>
  <c r="H659" i="1"/>
  <c r="K641" i="1"/>
  <c r="J641" i="1"/>
  <c r="I641" i="1"/>
  <c r="H641" i="1"/>
  <c r="K637" i="1"/>
  <c r="J637" i="1"/>
  <c r="I637" i="1"/>
  <c r="H637" i="1"/>
  <c r="K630" i="1"/>
  <c r="J630" i="1"/>
  <c r="H630" i="1"/>
  <c r="K626" i="1"/>
  <c r="J626" i="1"/>
  <c r="I626" i="1"/>
  <c r="H626" i="1"/>
  <c r="K622" i="1"/>
  <c r="J622" i="1"/>
  <c r="I622" i="1"/>
  <c r="H622" i="1"/>
  <c r="K621" i="1"/>
  <c r="J621" i="1"/>
  <c r="I621" i="1"/>
  <c r="H621" i="1"/>
  <c r="G622" i="1"/>
  <c r="G619" i="1"/>
  <c r="K618" i="1"/>
  <c r="J618" i="1"/>
  <c r="I618" i="1"/>
  <c r="H618" i="1"/>
  <c r="G601" i="1"/>
  <c r="K522" i="1"/>
  <c r="J522" i="1"/>
  <c r="I522" i="1"/>
  <c r="H522" i="1"/>
  <c r="K521" i="1"/>
  <c r="J521" i="1"/>
  <c r="I521" i="1"/>
  <c r="H521" i="1"/>
  <c r="K510" i="1"/>
  <c r="J510" i="1"/>
  <c r="I510" i="1"/>
  <c r="H510" i="1"/>
  <c r="G573" i="1"/>
  <c r="G572" i="1"/>
  <c r="G569" i="1"/>
  <c r="K655" i="1"/>
  <c r="J655" i="1"/>
  <c r="I655" i="1"/>
  <c r="H655" i="1"/>
  <c r="K648" i="1"/>
  <c r="J648" i="1"/>
  <c r="I648" i="1"/>
  <c r="H648" i="1"/>
  <c r="H1081" i="1" l="1"/>
  <c r="H1082" i="1" s="1"/>
  <c r="I1081" i="1"/>
  <c r="I1082" i="1" s="1"/>
  <c r="J1081" i="1"/>
  <c r="J1082" i="1" s="1"/>
  <c r="K1081" i="1"/>
  <c r="K1082" i="1" s="1"/>
  <c r="H343" i="1" l="1"/>
  <c r="H344" i="1" s="1"/>
  <c r="I343" i="1"/>
  <c r="I344" i="1" s="1"/>
  <c r="J343" i="1"/>
  <c r="J344" i="1" s="1"/>
  <c r="K343" i="1"/>
  <c r="K344" i="1" s="1"/>
  <c r="G343" i="1"/>
  <c r="I269" i="1" l="1"/>
  <c r="I270" i="1" s="1"/>
  <c r="J269" i="1"/>
  <c r="J270" i="1" s="1"/>
  <c r="K269" i="1"/>
  <c r="K270" i="1" s="1"/>
  <c r="H269" i="1"/>
  <c r="H270" i="1" s="1"/>
  <c r="G269" i="1"/>
  <c r="J221" i="1" l="1"/>
  <c r="J222" i="1" s="1"/>
  <c r="I221" i="1"/>
  <c r="I222" i="1" s="1"/>
  <c r="K221" i="1"/>
  <c r="K222" i="1" s="1"/>
  <c r="H221" i="1"/>
  <c r="H222" i="1" s="1"/>
  <c r="G221" i="1"/>
  <c r="K215" i="1"/>
  <c r="J215" i="1"/>
  <c r="I215" i="1"/>
  <c r="H215" i="1"/>
  <c r="K208" i="1"/>
  <c r="J208" i="1"/>
  <c r="I208" i="1"/>
  <c r="G208" i="1"/>
  <c r="H208" i="1"/>
  <c r="K211" i="1"/>
  <c r="J211" i="1"/>
  <c r="I211" i="1"/>
  <c r="H211" i="1"/>
  <c r="K163" i="1"/>
  <c r="J163" i="1"/>
  <c r="I163" i="1"/>
  <c r="H163" i="1"/>
  <c r="K149" i="1"/>
  <c r="J149" i="1"/>
  <c r="I149" i="1"/>
  <c r="H149" i="1"/>
  <c r="K152" i="1"/>
  <c r="J152" i="1"/>
  <c r="I152" i="1"/>
  <c r="H152" i="1"/>
  <c r="K158" i="1"/>
  <c r="J158" i="1"/>
  <c r="I158" i="1"/>
  <c r="H158" i="1"/>
  <c r="K193" i="1" l="1"/>
  <c r="J193" i="1"/>
  <c r="I193" i="1"/>
  <c r="H193" i="1"/>
  <c r="K179" i="1"/>
  <c r="J179" i="1"/>
  <c r="I179" i="1"/>
  <c r="H179" i="1"/>
  <c r="K176" i="1"/>
  <c r="J176" i="1"/>
  <c r="I176" i="1"/>
  <c r="H176" i="1"/>
  <c r="K155" i="1"/>
  <c r="J155" i="1"/>
  <c r="I155" i="1"/>
  <c r="H155" i="1"/>
  <c r="K144" i="1"/>
  <c r="J144" i="1"/>
  <c r="I144" i="1"/>
  <c r="H144" i="1"/>
  <c r="K141" i="1"/>
  <c r="J141" i="1"/>
  <c r="I141" i="1"/>
  <c r="H141" i="1"/>
  <c r="K364" i="1" l="1"/>
  <c r="K436" i="1"/>
  <c r="H436" i="1"/>
  <c r="I436" i="1"/>
  <c r="J436" i="1"/>
  <c r="G425" i="1"/>
  <c r="G436" i="1" s="1"/>
  <c r="G424" i="1"/>
  <c r="H413" i="1" l="1"/>
  <c r="G413" i="1"/>
  <c r="H23" i="1" l="1"/>
  <c r="H24" i="1" s="1"/>
  <c r="I23" i="1"/>
  <c r="I24" i="1" s="1"/>
  <c r="J23" i="1"/>
  <c r="J24" i="1" s="1"/>
  <c r="K23" i="1"/>
  <c r="K24" i="1" s="1"/>
  <c r="G23" i="1"/>
  <c r="K16" i="1" l="1"/>
  <c r="J16" i="1"/>
  <c r="I16" i="1"/>
  <c r="H351" i="1" l="1"/>
  <c r="I351" i="1"/>
  <c r="J351" i="1"/>
  <c r="K351" i="1"/>
  <c r="K365" i="1" s="1"/>
  <c r="H364" i="1"/>
  <c r="H365" i="1" s="1"/>
  <c r="I364" i="1"/>
  <c r="J364" i="1"/>
  <c r="I365" i="1" l="1"/>
  <c r="J365" i="1"/>
  <c r="I138" i="1"/>
  <c r="I139" i="1" s="1"/>
  <c r="J138" i="1"/>
  <c r="J139" i="1" s="1"/>
  <c r="K138" i="1"/>
  <c r="K139" i="1" s="1"/>
  <c r="G138" i="1"/>
  <c r="H138" i="1"/>
  <c r="H139" i="1" s="1"/>
  <c r="I1414" i="1" l="1"/>
  <c r="G1414" i="1"/>
  <c r="H1414" i="1"/>
  <c r="I1411" i="1"/>
  <c r="J1411" i="1"/>
  <c r="K1411" i="1"/>
  <c r="K1414" i="1"/>
  <c r="J1414" i="1"/>
  <c r="H1411" i="1"/>
  <c r="I1415" i="1" l="1"/>
  <c r="H1415" i="1"/>
  <c r="J1415" i="1"/>
  <c r="K1415" i="1"/>
  <c r="K392" i="1" l="1"/>
  <c r="K413" i="1" s="1"/>
  <c r="J392" i="1"/>
  <c r="J413" i="1" s="1"/>
  <c r="I392" i="1"/>
  <c r="I413" i="1" s="1"/>
  <c r="G389" i="1" l="1"/>
  <c r="G437" i="1" s="1"/>
  <c r="I389" i="1"/>
  <c r="I437" i="1" s="1"/>
  <c r="J389" i="1"/>
  <c r="J437" i="1" s="1"/>
  <c r="K389" i="1"/>
  <c r="K437" i="1" s="1"/>
  <c r="H372" i="1"/>
  <c r="H389" i="1" s="1"/>
  <c r="H437" i="1" s="1"/>
  <c r="G1110" i="1" l="1"/>
  <c r="H1244" i="1"/>
  <c r="I1244" i="1"/>
  <c r="J1244" i="1"/>
  <c r="K1244" i="1"/>
  <c r="G1243" i="1" l="1"/>
  <c r="G1224" i="1"/>
  <c r="G1207" i="1"/>
  <c r="G1189" i="1"/>
  <c r="G1163" i="1" l="1"/>
  <c r="G1144" i="1"/>
  <c r="G1118" i="1"/>
  <c r="G1104" i="1"/>
  <c r="K1245" i="1"/>
  <c r="J1245" i="1"/>
  <c r="I1245" i="1"/>
  <c r="H1245" i="1"/>
  <c r="K441" i="1"/>
  <c r="K442" i="1" s="1"/>
  <c r="J441" i="1"/>
  <c r="J442" i="1" s="1"/>
  <c r="I441" i="1"/>
  <c r="I442" i="1" s="1"/>
  <c r="H441" i="1"/>
  <c r="H442" i="1" s="1"/>
  <c r="H227" i="1"/>
  <c r="H1416" i="1" l="1"/>
  <c r="G1244" i="1"/>
  <c r="G1245" i="1" s="1"/>
  <c r="K234" i="1"/>
  <c r="K235" i="1" s="1"/>
  <c r="K1416" i="1" s="1"/>
  <c r="J234" i="1"/>
  <c r="J235" i="1" s="1"/>
  <c r="J1416" i="1" s="1"/>
  <c r="I234" i="1"/>
  <c r="I235" i="1" s="1"/>
  <c r="I1416" i="1" s="1"/>
  <c r="H234" i="1"/>
  <c r="H235" i="1" s="1"/>
  <c r="G234" i="1"/>
  <c r="G570" i="1" l="1"/>
  <c r="G1411" i="1" l="1"/>
  <c r="G1415" i="1" s="1"/>
  <c r="G222" i="1"/>
  <c r="G1374" i="1" l="1"/>
  <c r="G580" i="1"/>
  <c r="G623" i="1" l="1"/>
  <c r="G607" i="1"/>
  <c r="G605" i="1"/>
  <c r="G747" i="1"/>
  <c r="G744" i="1"/>
  <c r="G675" i="1"/>
  <c r="G659" i="1"/>
  <c r="G656" i="1"/>
  <c r="G655" i="1"/>
  <c r="G630" i="1"/>
  <c r="G627" i="1"/>
  <c r="G626" i="1"/>
  <c r="G613" i="1"/>
  <c r="G582" i="1"/>
  <c r="G482" i="1"/>
  <c r="G1008" i="1" l="1"/>
  <c r="G1000" i="1"/>
  <c r="G997" i="1"/>
  <c r="G695" i="1" l="1"/>
  <c r="G703" i="1"/>
  <c r="G702" i="1"/>
  <c r="G687" i="1"/>
  <c r="G603" i="1"/>
  <c r="G700" i="1"/>
  <c r="G755" i="1"/>
  <c r="G752" i="1"/>
  <c r="G751" i="1"/>
  <c r="G748" i="1"/>
  <c r="G731" i="1"/>
  <c r="G728" i="1"/>
  <c r="G727" i="1"/>
  <c r="G724" i="1"/>
  <c r="G592" i="1"/>
  <c r="G589" i="1"/>
  <c r="G679" i="1"/>
  <c r="G676" i="1"/>
  <c r="G672" i="1"/>
  <c r="G668" i="1"/>
  <c r="G665" i="1"/>
  <c r="G652" i="1"/>
  <c r="G648" i="1"/>
  <c r="G645" i="1"/>
  <c r="G641" i="1"/>
  <c r="G638" i="1"/>
  <c r="G637" i="1"/>
  <c r="G634" i="1"/>
  <c r="G618" i="1"/>
  <c r="G614" i="1"/>
  <c r="G611" i="1"/>
  <c r="G553" i="1" l="1"/>
  <c r="G546" i="1"/>
  <c r="G1081" i="1" s="1"/>
  <c r="G543" i="1"/>
  <c r="G1082" i="1" l="1"/>
  <c r="G139" i="1"/>
  <c r="G133" i="1"/>
  <c r="G113" i="1" l="1"/>
  <c r="G89" i="1"/>
  <c r="G84" i="1"/>
  <c r="G80" i="1"/>
  <c r="G70" i="1"/>
  <c r="G64" i="1"/>
  <c r="G47" i="1"/>
  <c r="G40" i="1"/>
  <c r="G34" i="1"/>
  <c r="G33" i="1"/>
  <c r="G27" i="1"/>
  <c r="H27" i="1" s="1"/>
  <c r="G26" i="1"/>
  <c r="G211" i="1" l="1"/>
  <c r="G193" i="1"/>
  <c r="G179" i="1"/>
  <c r="G176" i="1"/>
  <c r="G155" i="1"/>
  <c r="G144" i="1"/>
  <c r="G141" i="1"/>
  <c r="G1407" i="1" l="1"/>
  <c r="G270" i="1" l="1"/>
  <c r="G320" i="1" l="1"/>
  <c r="G321" i="1" s="1"/>
  <c r="G344" i="1" l="1"/>
  <c r="G441" i="1" l="1"/>
  <c r="G442" i="1" s="1"/>
  <c r="G364" i="1" l="1"/>
  <c r="G351" i="1"/>
  <c r="G365" i="1" l="1"/>
  <c r="G235" i="1"/>
  <c r="G24" i="1" l="1"/>
  <c r="G1416" i="1" s="1"/>
  <c r="G14" i="1"/>
  <c r="G12" i="1"/>
  <c r="G7" i="1"/>
</calcChain>
</file>

<file path=xl/sharedStrings.xml><?xml version="1.0" encoding="utf-8"?>
<sst xmlns="http://schemas.openxmlformats.org/spreadsheetml/2006/main" count="5540" uniqueCount="1665">
  <si>
    <t>№ п/п</t>
  </si>
  <si>
    <t>Наименование государственной программы</t>
  </si>
  <si>
    <t>Наименование государственной
услуги (работы)</t>
  </si>
  <si>
    <t xml:space="preserve">Коды </t>
  </si>
  <si>
    <t>Наименование показателя</t>
  </si>
  <si>
    <t>Единица
измерения</t>
  </si>
  <si>
    <t xml:space="preserve">тыс. руб.
</t>
  </si>
  <si>
    <t>тыс. руб.</t>
  </si>
  <si>
    <t>1</t>
  </si>
  <si>
    <t>2</t>
  </si>
  <si>
    <t>3</t>
  </si>
  <si>
    <t>4</t>
  </si>
  <si>
    <t>5</t>
  </si>
  <si>
    <t>6</t>
  </si>
  <si>
    <t>7</t>
  </si>
  <si>
    <t>Объем субсидий на
финансовое обеспечение
оказания государственных
услуг (выполнения работ)</t>
  </si>
  <si>
    <t>Объем субсидий на финансовое обеспечение оказания государственных услуг (выполнения работ)</t>
  </si>
  <si>
    <t>Фактическое исполнение за 2017 год</t>
  </si>
  <si>
    <t>1.</t>
  </si>
  <si>
    <t>Министерство финансов Забайкальского края</t>
  </si>
  <si>
    <t>Ведение бюджетного учета, формирование регистров органами власти, казенными учреждениями</t>
  </si>
  <si>
    <t>Код базовой услуги: 13.004.1</t>
  </si>
  <si>
    <t>единица</t>
  </si>
  <si>
    <t>Формирование бюджетной отчетности для главного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</t>
  </si>
  <si>
    <t>Ведение бухгалтерского учета бюджетными учреждениями, формирование регистров бухгалтерского учета</t>
  </si>
  <si>
    <t>Формирование финансовой (бухгалтерской) отчетности бюджетных и автономных учреждений</t>
  </si>
  <si>
    <t>1. 1</t>
  </si>
  <si>
    <t>1.2</t>
  </si>
  <si>
    <t>1.3</t>
  </si>
  <si>
    <t>1.4</t>
  </si>
  <si>
    <t>1.5</t>
  </si>
  <si>
    <t>Итого по государственной программе "Управление государственными финансами и государственным долгом на 2014-2020 годы"</t>
  </si>
  <si>
    <t>Итого по Министерству финансов Забайкальского края</t>
  </si>
  <si>
    <t>Код базовой услуги: 13.008.1</t>
  </si>
  <si>
    <t>Код базовой услуги: 13.001.01</t>
  </si>
  <si>
    <t>Код базовой услуги: 13.006.1</t>
  </si>
  <si>
    <t>Количество объектов учета (регистров)</t>
  </si>
  <si>
    <t>Администрация Агинского Бурятского округа Забайкальского края</t>
  </si>
  <si>
    <t>Содержание (эксплуатация)
имущества, находящегося в государственной (муниципальной) собственности</t>
  </si>
  <si>
    <t>Код базовой услуги: 28.060.1</t>
  </si>
  <si>
    <t>Эксплуатируемая площадь, всего, в т.ч. зданий прилегающей территории</t>
  </si>
  <si>
    <t>кв.м.</t>
  </si>
  <si>
    <t>Код бюджетной классификации: 006 0113 2130219902 611</t>
  </si>
  <si>
    <t>Организация и осуществление транспортного обслуживания должностных лиц в случаях,
установленных нормативными правовыми актами Российской Федерации, субъектов Российской Федерации, органов местного самоуправления</t>
  </si>
  <si>
    <t>Код базовой услуги: 15.037.1</t>
  </si>
  <si>
    <t>Машино-часы работы автомобилей</t>
  </si>
  <si>
    <t>Осуществление издательской деятельности</t>
  </si>
  <si>
    <t>006 1202 2130298702 621</t>
  </si>
  <si>
    <t>Коды бюджетной классификации: 006 1202 2130298702 611</t>
  </si>
  <si>
    <t>экземпляр</t>
  </si>
  <si>
    <t>Количество печатных страниц</t>
  </si>
  <si>
    <t>страница</t>
  </si>
  <si>
    <t>Итого по Администрации Агинского Бурятского округа Забайкальского края</t>
  </si>
  <si>
    <t>4.1</t>
  </si>
  <si>
    <t>4.2</t>
  </si>
  <si>
    <t>4.3</t>
  </si>
  <si>
    <t>Департамент управления делами Губернатора Забайкальского края</t>
  </si>
  <si>
    <t>Непрограммная
деятельность</t>
  </si>
  <si>
    <t>Осуществление
издательской
деятельности</t>
  </si>
  <si>
    <t>Код базовой услуги: 09.076.0</t>
  </si>
  <si>
    <t>Количество номеров издания</t>
  </si>
  <si>
    <t>штука</t>
  </si>
  <si>
    <t>Код бюджетной классификации: 014 1202 8800098701 621</t>
  </si>
  <si>
    <t>Объем тиража</t>
  </si>
  <si>
    <t>Итого по непрограммной деятельности</t>
  </si>
  <si>
    <t>Реализация дополнительных общеобразовательных общеразвивающих программ(студии)</t>
  </si>
  <si>
    <t>Код базовой услуги: 11.020.0</t>
  </si>
  <si>
    <t>Количество
мероприятий</t>
  </si>
  <si>
    <t>человек</t>
  </si>
  <si>
    <t>Код бюджетной классификации: 014 0707 1460111435 621</t>
  </si>
  <si>
    <t>Организация мероприятий</t>
  </si>
  <si>
    <t>Код базовой услуги: 14.015.1</t>
  </si>
  <si>
    <t>Количество участников
мероприятий</t>
  </si>
  <si>
    <t>Организация досуга детей, подростков и молодежи (молодежная политика)</t>
  </si>
  <si>
    <t>Код базовой услуги: 10.044.1</t>
  </si>
  <si>
    <t>Пропаганда физической культуры, спорта и
здорового образа жизни</t>
  </si>
  <si>
    <t>Код базовой услуги: 30.023.1</t>
  </si>
  <si>
    <t>Итого по Департаменту управления делами Губернатора Забайкальского края</t>
  </si>
  <si>
    <t>Министерство экономического развития Забайкальского края</t>
  </si>
  <si>
    <t>Экономическое развитие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</si>
  <si>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</si>
  <si>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t>Код базовой услуги: 19.001.0</t>
  </si>
  <si>
    <t>Количество услуг</t>
  </si>
  <si>
    <t>Код бюджетной классификации: 025 0113 0340119905 621</t>
  </si>
  <si>
    <t>Итого по государственной программе "Экономическое развитие"</t>
  </si>
  <si>
    <t>Итого по Министерству экономического развития Забайкальского края</t>
  </si>
  <si>
    <t>Департамент государственного имущества и земельных отношений Забайкальского края</t>
  </si>
  <si>
    <t>Организация и проведение культурно-массовых мероприятий</t>
  </si>
  <si>
    <t>Код базовой услуги: 07.010.0</t>
  </si>
  <si>
    <t>Количество проведенных мероприятий</t>
  </si>
  <si>
    <t>штук</t>
  </si>
  <si>
    <t>Количество участников мероприятий</t>
  </si>
  <si>
    <t>Код бюджетной классификации: 017 0801 8800012445 621</t>
  </si>
  <si>
    <t>Библиотечное, библиографическое и информационное обслуживание пользователей библиотеки</t>
  </si>
  <si>
    <t>Количество посещений</t>
  </si>
  <si>
    <t>Код базовой услуги: 07.011.0</t>
  </si>
  <si>
    <t>Создание концертов и концертных программ</t>
  </si>
  <si>
    <t>Код базовой услуги: 07.005.1</t>
  </si>
  <si>
    <t>Количество новых (капитально-возобновленных) концертов</t>
  </si>
  <si>
    <t>Создание экспозиций (выставок) музеев, организация выездных выставок</t>
  </si>
  <si>
    <t>Код базовой услуги: 07.047.1</t>
  </si>
  <si>
    <t>Количество экспозиций/ Количество посетителей</t>
  </si>
  <si>
    <t>единица/ человек</t>
  </si>
  <si>
    <t>Создание спектаклей</t>
  </si>
  <si>
    <t>Код базовой услуги: 07.004.1</t>
  </si>
  <si>
    <t>Количество новых (капитально-возобновленных) постановок</t>
  </si>
  <si>
    <t>Организация показа спектаклей</t>
  </si>
  <si>
    <t>Код базовой услуги: 07.007.1</t>
  </si>
  <si>
    <t>человек/   штук</t>
  </si>
  <si>
    <t>тыс.руб.</t>
  </si>
  <si>
    <t>Количество посетителей/ Количество проводимых спектаклей</t>
  </si>
  <si>
    <t>Организация показа концертов и концертных программ</t>
  </si>
  <si>
    <t>Количество посетителей/ Количество проводимых концертов и концертных программ</t>
  </si>
  <si>
    <t>Код базовой услуги: 07.008.1</t>
  </si>
  <si>
    <t>Оказание информационных услуг на основе архивных документов</t>
  </si>
  <si>
    <t>Количество запросов</t>
  </si>
  <si>
    <t>Код базовой услуги: 07.029.0</t>
  </si>
  <si>
    <t>Код бюджетной классификации: 017 0412 1020214093 611</t>
  </si>
  <si>
    <t>Комплектование архивными документами</t>
  </si>
  <si>
    <t>Документы, принятые на постоянное хранение</t>
  </si>
  <si>
    <t>Код базовой услуги: 07.033.1</t>
  </si>
  <si>
    <t>Обеспечение сохранности и учет архивных документов</t>
  </si>
  <si>
    <t>Объём хранимых документов (инвентарных дел)</t>
  </si>
  <si>
    <t>Код базовой услуги: 07.032.1</t>
  </si>
  <si>
    <t>Количество проведённых экспертиз/количество составленных актов</t>
  </si>
  <si>
    <t>Код базовой услуги: 14.014.1</t>
  </si>
  <si>
    <t>Итого по Департаменту государственного имущества и земельных отношений Забайкальского края</t>
  </si>
  <si>
    <t>Министерство природных ресурсов Забайкальского края</t>
  </si>
  <si>
    <t>Организация и проведение работ по учету, анализу численности объектов животного мира, отнесенных к объектам охоты, а также редких и находящихся под угрозой  исчезновения объектов животного мира</t>
  </si>
  <si>
    <t>Код базовой услуги: 03.002.1</t>
  </si>
  <si>
    <t>гектар</t>
  </si>
  <si>
    <t xml:space="preserve">Устройство кормовых полей, подкормочных площадок, водопоев, привад, солонцов, искусственных гнездовий </t>
  </si>
  <si>
    <t xml:space="preserve">Обеспечение соблюдения режима особо охраняемых природных территорий регионального значения </t>
  </si>
  <si>
    <t>Код базовой услуги: 06.001.1</t>
  </si>
  <si>
    <t>Сохранение природных комплексов, уникальных и эталонных природных участков и объектов</t>
  </si>
  <si>
    <t>Экологическое просвещение населения</t>
  </si>
  <si>
    <t xml:space="preserve">Прпоганда  экологических знаний в СМИ, выступления </t>
  </si>
  <si>
    <t>Код базовой услуги: 06.003.1</t>
  </si>
  <si>
    <t>Создание условиий для регулируемого туризма ии отдыха</t>
  </si>
  <si>
    <t xml:space="preserve">Осуществление мероприятий в области обслуживания посетителей на ООПТ </t>
  </si>
  <si>
    <t>Код базовой услуги: 06.004.1</t>
  </si>
  <si>
    <t>Создание и обустройство экологических троп и маршрутов</t>
  </si>
  <si>
    <t>Обеспечение проведения мероприятий по сохранению объектов животного мира, включая редких и находящихся под угрозой исчезновения, и среды их обитания</t>
  </si>
  <si>
    <t>Код базовой услуги: 06.008.1</t>
  </si>
  <si>
    <t>Предупреждение возникновения и распространения лесных пожаров, включая территорию ООПТ</t>
  </si>
  <si>
    <t>Код базовой услуги: 06.016.1</t>
  </si>
  <si>
    <t>Установка шлагбаумов, устройство преград, обеспечивающих ограничение пребывания граждан в лесах в целях обеспечения пожарной безопасности</t>
  </si>
  <si>
    <t>Установка и размещение стендов и других знаков и указателей, содержащих информацию о мерах пожарной безопасности в лесах</t>
  </si>
  <si>
    <t>Локализация и ликвидация очагов вредных организмов</t>
  </si>
  <si>
    <t xml:space="preserve">Очистка лесов от захламления, загрязнения и иного негативного воздействия </t>
  </si>
  <si>
    <t>Ведение информационных ресурсов и баз данных</t>
  </si>
  <si>
    <t xml:space="preserve">Ведение интернет сайта </t>
  </si>
  <si>
    <t>Код базовой услуги: 06.021.1</t>
  </si>
  <si>
    <t>Код базовой услуги: 09.011.1</t>
  </si>
  <si>
    <t>Административное обеспечение деятельности организации</t>
  </si>
  <si>
    <t>Код базовой услуги: 14.004.1</t>
  </si>
  <si>
    <t>Организация мероприятий по предотвращению негативного воздействия на окружающую среду</t>
  </si>
  <si>
    <t>Сбор и обработка статистической информации, ведение реестров по отчетам</t>
  </si>
  <si>
    <t xml:space="preserve">Сбор и обработка статистической информации, Принятие отчетов природо-пользователей </t>
  </si>
  <si>
    <t>Код базовой услуги: 06.014.1</t>
  </si>
  <si>
    <t>Итого по государственной программе "Охрана окружающей среды"</t>
  </si>
  <si>
    <t>Охрана окружающей среды</t>
  </si>
  <si>
    <t>Развитие лесного хозяйства Забайкальского края  на 2014-2020 годы</t>
  </si>
  <si>
    <t>Локализация и ликвидация очаговых вредных организмов</t>
  </si>
  <si>
    <t xml:space="preserve">Сплошные санитарные рубки </t>
  </si>
  <si>
    <t>Х</t>
  </si>
  <si>
    <t>Осуществление лесовосстановления и лесоразведения</t>
  </si>
  <si>
    <t xml:space="preserve">Искусственное лесовосстановление </t>
  </si>
  <si>
    <t xml:space="preserve">Естественное лесовосстановление (содействие лесовосстановлению), минеральзация почвы </t>
  </si>
  <si>
    <t xml:space="preserve">Естественное лесовосстановление (содействие лесовосстановлению), сохранение подроста </t>
  </si>
  <si>
    <t xml:space="preserve">Проведение агротехнического ухода за лесными культурами (в переводе на однократный) </t>
  </si>
  <si>
    <t xml:space="preserve">Дополнение лесных культур </t>
  </si>
  <si>
    <t>Код базовой услуги: 05.007.1</t>
  </si>
  <si>
    <t>Код бюджетной классификации: 046 0407 0910451299 621</t>
  </si>
  <si>
    <t>Проведение ухода за лесами</t>
  </si>
  <si>
    <t>куб.м</t>
  </si>
  <si>
    <t xml:space="preserve">Прореживание, за счет средств исполнителя </t>
  </si>
  <si>
    <t xml:space="preserve">Проходная рубка, за счет средств исполнителя </t>
  </si>
  <si>
    <t xml:space="preserve">Уход за объектами лесного семеноводства </t>
  </si>
  <si>
    <t>Код базовой услуги: 05.008.1</t>
  </si>
  <si>
    <t>Выполнение работ по лесному  семеноводству</t>
  </si>
  <si>
    <t xml:space="preserve">Заготовка (производство) семян лесных растений </t>
  </si>
  <si>
    <t xml:space="preserve">Хранение семян лесных растений </t>
  </si>
  <si>
    <t xml:space="preserve">Иные мероприятия по лесному семеноводству </t>
  </si>
  <si>
    <t>тыс.шт.</t>
  </si>
  <si>
    <t>Код базовой услуги: 05.009.1</t>
  </si>
  <si>
    <t>Тушение лесных пожаров</t>
  </si>
  <si>
    <t xml:space="preserve">Тушение лесных пожаров в авиационной зоне охраны </t>
  </si>
  <si>
    <t>Код базовой услуги: 06.020.1</t>
  </si>
  <si>
    <t>Итого по государственной программе "Развитие лесного хозяйства Забайкальского края  на 2014-2020 годы"</t>
  </si>
  <si>
    <t>Осуществление мероприиятий в области использования лесов, включая  организацию и развитие туриизма  и отдыха в лесах</t>
  </si>
  <si>
    <t xml:space="preserve">Благоустройство зон отдыха граждан,пребывающих в лесах </t>
  </si>
  <si>
    <t>Код базовой услуги: 05.011.0</t>
  </si>
  <si>
    <t>Код бюджетной классификации:  
046 0407 0910151299 621</t>
  </si>
  <si>
    <t>км</t>
  </si>
  <si>
    <t>Эксплуатация  лесных дорог предназначенных для охраны лесов от пожаров</t>
  </si>
  <si>
    <t>Создание лесных дорог предназначенных для охраны лесов от пожаров</t>
  </si>
  <si>
    <t>Реконструкция лесных дорог предназначенных для охраны лесов от пожаров</t>
  </si>
  <si>
    <t xml:space="preserve">Устройство противопожарных минерализованных полос </t>
  </si>
  <si>
    <t xml:space="preserve">Проведение профилактического контролируемого противопожарного выжигания хвороста, лесной подстилки, сухой травы и других лесных горючих материалов </t>
  </si>
  <si>
    <t xml:space="preserve">Прочистка противопожарных минерализованных полос </t>
  </si>
  <si>
    <t>Установка шлагбаумов, устройство преград, обеспечивающих ограничение пребывания граждан в лесах в целях обеспечения пожарной безопасности (шт)</t>
  </si>
  <si>
    <t xml:space="preserve">Установка и размещение стендов, знаков и указателей, содержащих информацию о мерах пожарной безопасности в лесах </t>
  </si>
  <si>
    <t>Мониторинг пожарной опасности в лесах и лесных пожаров в наземной зоне</t>
  </si>
  <si>
    <t xml:space="preserve">Приобретение противопожарного снаряжения и инвентаря, содержание пожарной техники и оборудования, систем связи и оповещения, создание резерва пожарной техники и оборудования (создание запаса ГСМ) </t>
  </si>
  <si>
    <t>Приобретение противопожарного снаряжения и инвентаря, содержание пожарной техники и оборудования, систем связи и оповещения, создание резерва пожарной техники и оборудования (приобретение противопожарного снаряжения и инвентаря)</t>
  </si>
  <si>
    <t>Устройство пожарных водоемов и подъездов к источникам противопожарного водоснабжения</t>
  </si>
  <si>
    <t>Строительство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</si>
  <si>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</si>
  <si>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Эксплуатация пожарных водоемов и подъездов к источникам водоснабжения</t>
  </si>
  <si>
    <t>Код бюджетной классификации:  046 0407 0910151299 621</t>
  </si>
  <si>
    <t>тонна</t>
  </si>
  <si>
    <t xml:space="preserve">Лесопатологические обследования </t>
  </si>
  <si>
    <t>Профилактика возникновения очагов вредных организмов</t>
  </si>
  <si>
    <t>Код базовой услуги: 06.017.1</t>
  </si>
  <si>
    <t>Код бюджетной классификации:
046 0407 0910251299 621</t>
  </si>
  <si>
    <t xml:space="preserve">Выборочные санитарные рубки </t>
  </si>
  <si>
    <t>Выполнение работы по отводу лесосек</t>
  </si>
  <si>
    <t xml:space="preserve">Отвод и таксация лесосек </t>
  </si>
  <si>
    <t>Код базовой услуги: 05.010.1</t>
  </si>
  <si>
    <t>Тушение лесных пожаров в наземной зоне охраны лесов</t>
  </si>
  <si>
    <t>Итого по Министерству природных ресурсов Забайкальского края</t>
  </si>
  <si>
    <t>Департамент по гражданской обороне и пожарной безопасности Забайкальского края</t>
  </si>
  <si>
    <t xml:space="preserve">Реализация дополнительных профессиональных образовательных программ повышения квалификации </t>
  </si>
  <si>
    <t>тыс. руб</t>
  </si>
  <si>
    <t>Количество записей, количество информационных ресурсов, час</t>
  </si>
  <si>
    <t>час</t>
  </si>
  <si>
    <t>Мероприятия в сфере гражданской обороны</t>
  </si>
  <si>
    <t>Обеспечение повседневной оперативной деятельности</t>
  </si>
  <si>
    <t xml:space="preserve">Обеспечение пожарной безопасности </t>
  </si>
  <si>
    <t>Код базовой услуги: 11.Д47.0</t>
  </si>
  <si>
    <t>Код базовой услуги: 24.018.1</t>
  </si>
  <si>
    <t>Код базовой услуги: 24.009.1</t>
  </si>
  <si>
    <t>Код базовой услуги: 24.011.1</t>
  </si>
  <si>
    <t>Код базовой услуги: 24.015.1</t>
  </si>
  <si>
    <t>Обеспечение постоянной готовности персонала, имущества, помещений для временного размещения населения при угрозе или возникновении чрезвычайных ситуаций природного, техногенного характера и иных происшествий</t>
  </si>
  <si>
    <t>Итого по Департамент по гражданской обороне и пожарной безопасности Забайкальского края</t>
  </si>
  <si>
    <t>Развитие информационного общества и формирование электронного правительства в Забайкальском крае</t>
  </si>
  <si>
    <t>Министерство территориального развития Забайкальского края</t>
  </si>
  <si>
    <t>Осуществление функции Удостоверяющего центра</t>
  </si>
  <si>
    <t>Количество выданных ключей электронной подписи</t>
  </si>
  <si>
    <t>Код базовой услуги: 09.012.1</t>
  </si>
  <si>
    <t>Код бюджетной классификации: 
027 0410 0650114092 611</t>
  </si>
  <si>
    <t>Количество записей</t>
  </si>
  <si>
    <t>Единиц</t>
  </si>
  <si>
    <t>Количество информационных ресурсов и баз данных</t>
  </si>
  <si>
    <t>Количество ИС обеспечения типовой деятельности</t>
  </si>
  <si>
    <t>Создание и развитие информационных систем и компонентов информационно-телекоммуникационной инфраструктуры</t>
  </si>
  <si>
    <t>Количество пользователей  (ИС обеспечения типовой деятельности)</t>
  </si>
  <si>
    <t>Количество автоматизированных рабочих мест (ИС обеспечения типовой деятельности)</t>
  </si>
  <si>
    <t>Количество учетных записей (ИС обеспечения типовой деятельности)</t>
  </si>
  <si>
    <t>Количество программно-технических средств (ИС обеспечения типовой деятельности)</t>
  </si>
  <si>
    <t>Код базовой услуги: 09.008.1</t>
  </si>
  <si>
    <t>Количество ИС обеспечения специальной деятельности</t>
  </si>
  <si>
    <t>Количество пользователей (ИС обеспечения специальной деятельности)</t>
  </si>
  <si>
    <t>Количество автоматизированных рабочих мест (ИС обеспечения специальной деятельности)</t>
  </si>
  <si>
    <t>Количество учетных записей (ИС обеспечения специальной деятельности)</t>
  </si>
  <si>
    <t>Количество программно-технических средств (ИС обеспечения специальной деятельности)</t>
  </si>
  <si>
    <t>Количество компонентов инфраструктуры электронного правительства</t>
  </si>
  <si>
    <t>Количество типовых компонентов ИТКИ</t>
  </si>
  <si>
    <t>Количество ЦОД</t>
  </si>
  <si>
    <t>Код базовой услуги: 09.013.1</t>
  </si>
  <si>
    <t xml:space="preserve">Осуществление работ по обеспечению требований информационной безопасности </t>
  </si>
  <si>
    <t>Количетво общесистемного ПО</t>
  </si>
  <si>
    <t>Количество заказанного прикладного ПО</t>
  </si>
  <si>
    <t>Количество прикладного ПО</t>
  </si>
  <si>
    <t>Количество автоматических компьютерных телефонных станций, средств IP-теелефонии</t>
  </si>
  <si>
    <t>Количество телекомуникационного оборудования</t>
  </si>
  <si>
    <t>Количество программно-аппаратных комплексов информационной безопасности</t>
  </si>
  <si>
    <t>Код базовой услуги: 09.010.1</t>
  </si>
  <si>
    <t>Предоставление программного обеспечения, инженерной, вычислительной и информационно-коммуникационной инфраструктуры в т.ч. на основе "облачных технологий"</t>
  </si>
  <si>
    <t>Код базовой услуги: 09.019.1</t>
  </si>
  <si>
    <t xml:space="preserve">Техническое сопровождение и эксплуатация, вывод из эксплуатации информационных систем и компонентов ИТ инфраструктуры </t>
  </si>
  <si>
    <t>Количество пользователей (Центр обработки данных. Обеспечение технологического процесса)</t>
  </si>
  <si>
    <t>Количество программно-технических средств (Центр обработки данных. Обеспечение технологического процесса)</t>
  </si>
  <si>
    <t>Количество пользователей (Центр обработки данных. Управление правами доступа)</t>
  </si>
  <si>
    <t>Количество программно-технических средств (Центр обработки данных. Управление правами доступа)</t>
  </si>
  <si>
    <t>Количество пользователей (Центр обработки данных. Прикладное сопровождение)</t>
  </si>
  <si>
    <t>Количество программно-технических средств (Центр обработки данных. Прикладное сопровождение)</t>
  </si>
  <si>
    <t>Количество пользователей (Центр обработки данных. Клиентское сопровождение)</t>
  </si>
  <si>
    <t>Количество программно-технических средств (Центр обработки данных. Клиентское сопровождение)</t>
  </si>
  <si>
    <t>Количество показателей функционирования (Центр обработки данных. Контроль и мониторинг показателей функционирования)</t>
  </si>
  <si>
    <t>Количество пользователей (ИС обеспечения типовой деятельности. Управление правами доступа)</t>
  </si>
  <si>
    <t>Количество автоматизированных рабочих мест  (ИС обеспечения типовой деятельности. Управление правами доступа)</t>
  </si>
  <si>
    <t>Количество учетных записей (ИС обеспечения типовой деятельности. Управление правами доступа)</t>
  </si>
  <si>
    <t>Количество программно-технических средств (ИС обеспечения типовой деятельности. Управление правами доступа)</t>
  </si>
  <si>
    <t>Количество пользователей (ИС обеспечения типовой деятельности. Прикладное сопровождение)</t>
  </si>
  <si>
    <t>Количество автоматизированных рабочих мест (ИС обеспечения типовой деятельности. Прикладное сопровождение)</t>
  </si>
  <si>
    <t>Количество учетных записей (ИС обеспечения типовой деятельности. Прикладное сопровождение)</t>
  </si>
  <si>
    <t>Количество ИС обеспечения типовой деятельности (ИС обеспечения типовой деятельности. Прикладное сопровождение)</t>
  </si>
  <si>
    <t>Количество пользователей (ИС обеспечения типовой деятельности. Клиентское сопровождение)</t>
  </si>
  <si>
    <t>Количество автоматизированных рабочих мест (ИС обеспечения типовой деятельности. Клиентское сопровождение)</t>
  </si>
  <si>
    <t>Количество учетных записей (ИС обеспечения типовой деятельности. Клиентское сопровождение)</t>
  </si>
  <si>
    <t>Количество программно-технических средств (ИС обеспечения типовой деятельности. Клиентское сопровождение)</t>
  </si>
  <si>
    <t>Количество показателей функционирования (ИС обеспечения типовой деятельности. Контроль и мониторинг показателей функционирования)</t>
  </si>
  <si>
    <t>Количество пользователей (ИС обеспечения специальной деятельности. Обеспечение технологического процесса)</t>
  </si>
  <si>
    <t>Количество автоматизированных рабочих мест (ИС обеспечения специальной деятельности. Обеспечение технологического процесса)</t>
  </si>
  <si>
    <t>Количество учетных записей (ИС обеспечения специальной деятельности. Обеспечение технологического процесса)</t>
  </si>
  <si>
    <t>Количество программно-технических средств (ИС обеспечения специальной деятельности. Обеспечение технологического процесса)</t>
  </si>
  <si>
    <t>Количество учетных записей (ИС обеспечения специальной деятельности. Техническая поддержка и обеспечение функционирования)</t>
  </si>
  <si>
    <t>Количество показателей функционирования (ИС обеспечения специальной деятельности. Техническая поддержка и обеспечение функционирования)</t>
  </si>
  <si>
    <t>Количество пользователей (ИС обеспечения специальной деятельности. Управление правами доступа)</t>
  </si>
  <si>
    <t>Количество автоматизированных рабочих мест (ИС обеспечения специальной деятельности. Управление правами доступа)</t>
  </si>
  <si>
    <t>Количество учетных записей (ИС обеспечения специальной деятельности. Управление правами доступа)</t>
  </si>
  <si>
    <t>Количество программно-технических средств (ИС обеспечения специальной деятельности. Управление правами доступа)</t>
  </si>
  <si>
    <t>Количество пользователей (ИС обеспечения специальной деятельности. Прикладное сопровождение)</t>
  </si>
  <si>
    <t>Количество автоматизированных рабочих мест (ИС обеспечения специальной деятельности. Прикладное сопровождение)</t>
  </si>
  <si>
    <t>Количество учетных записей (ИС обеспечения специальной деятельности. Прикладное сопровождение)</t>
  </si>
  <si>
    <t>Количество программно-технических средств (ИС обеспечения специальной деятельности. Прикладное сопровождение)</t>
  </si>
  <si>
    <t>Количество пользователей (ИС обеспечения специальной деятельности. Клиентское сопровождение)</t>
  </si>
  <si>
    <t>Количество показателей функционирования (Типовые компоненты ИТКИ. Контроль и мониторинг показателей функционирования)</t>
  </si>
  <si>
    <t>Количество государственных услуг, предоставляемых в электронном виде (Компоненты инфраструктуры электронного правительства. Обеспечение технологического процесса)</t>
  </si>
  <si>
    <t>Количество государственных услуг, предоставляемых в электронном виде (Компоненты инфраструктуры электронного правительства. Управление правами доступа)</t>
  </si>
  <si>
    <t>Количество государственных услуг, предоставляемых в электронном виде (Компоненты инфраструктуры электронного правительства. Прикладное сопровождение)</t>
  </si>
  <si>
    <t>Количество государственных услуг, предоставляемых в электронном виде (Компоненты инфраструктуры электронного правительства. Клиентское сопровождение)</t>
  </si>
  <si>
    <t>Количество государственных услуг, предоставляемых в электронном виде (Компоненты инфраструктуры электронного правительства. Контроль и мониторинг показателей функционирования)</t>
  </si>
  <si>
    <t>Итого по государственной программе "Развитие информационного общества и формирование электронного правительства в Забайкальском крае"</t>
  </si>
  <si>
    <t>Итого по Министерству территориального развития Забайкальского края</t>
  </si>
  <si>
    <t>Министерство культуры Забайкальского края</t>
  </si>
  <si>
    <t>Количество зрителей</t>
  </si>
  <si>
    <t xml:space="preserve">Показ (организация показа) спектаклей (театральных постановок) </t>
  </si>
  <si>
    <t>Количество зрителей (стационар)</t>
  </si>
  <si>
    <t>Количество зрителей (на выезде)</t>
  </si>
  <si>
    <t>Количество зрителей (на гастролях)</t>
  </si>
  <si>
    <t>Код базовой услуги: 07.002.0</t>
  </si>
  <si>
    <t>Показ (организация показа) концертов и концертных программ</t>
  </si>
  <si>
    <t>Количество новых постановок</t>
  </si>
  <si>
    <t>Количество новых постановок (сборный)</t>
  </si>
  <si>
    <t>Количество новых постановок (сольный)</t>
  </si>
  <si>
    <t>Количество посетителей</t>
  </si>
  <si>
    <t xml:space="preserve">Библиотечное, библиографическое и информационное обслуживание пользователей библиотеки </t>
  </si>
  <si>
    <t>Количество посетителей (стационар)</t>
  </si>
  <si>
    <t>Количество посетителей (вне стационара)</t>
  </si>
  <si>
    <t>Количество посетителей (удаленно, через сеть интернет)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</si>
  <si>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</si>
  <si>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>Количество документов</t>
  </si>
  <si>
    <t>Библиографическая обработка документов и создание каталогов</t>
  </si>
  <si>
    <t>Код базовой услуги: 07.013.1</t>
  </si>
  <si>
    <t>Код базовой услуги: 07.014.1</t>
  </si>
  <si>
    <t>Осуществление стабилизации, реставрации и консервации библиотечного фонда, включая книжные памятники</t>
  </si>
  <si>
    <t>Публичный показ музейных предметов, музейных коллекций в стационаре</t>
  </si>
  <si>
    <t>Код базовой услуги: 07.015.1</t>
  </si>
  <si>
    <t>Формирование, учет, изучение, обеспечение физического сохранения и безопасности музейных предметов, музейных коллекций</t>
  </si>
  <si>
    <t>Количество предметов</t>
  </si>
  <si>
    <t>Код базовой услуги: 07.017.1</t>
  </si>
  <si>
    <t>Выявление, изучение, сохранение, развитие и популяризация объектов нематериального культурного наследия народов Российской Федерации в области традиционной народной культуры</t>
  </si>
  <si>
    <t>Показ кинофильмов</t>
  </si>
  <si>
    <t>Код базовой услуги: 07.021.1</t>
  </si>
  <si>
    <t>Код базовой услуги: 07.022.0</t>
  </si>
  <si>
    <t>Работа по формированию и учету фондов фильмофонда</t>
  </si>
  <si>
    <t>Количество единиц хранения</t>
  </si>
  <si>
    <t>Организация деятельности клубных формирований и формирований самодеятельного народного творчества</t>
  </si>
  <si>
    <t>Количество кружков</t>
  </si>
  <si>
    <t>Код базовой услуги: 07.025.1</t>
  </si>
  <si>
    <t>Обеспечение сохранения и использования объектов культурного наследия</t>
  </si>
  <si>
    <t>Создание экспозиций (выставок) музеев, организация выездных выставок в стац усл</t>
  </si>
  <si>
    <t>Количество выставок</t>
  </si>
  <si>
    <t>Код базовой услуги: 07.042.1</t>
  </si>
  <si>
    <t xml:space="preserve">Реализация основных профессиональных образовательных программ среднего профессионального образования </t>
  </si>
  <si>
    <t>Количество часов</t>
  </si>
  <si>
    <t>Реализация основных профессиональных образовательных программ среднего профессионального образования</t>
  </si>
  <si>
    <t>Реализация дополнительных предпрофессиональных программ в области искусства</t>
  </si>
  <si>
    <t>Количество изданий (газеты)</t>
  </si>
  <si>
    <t xml:space="preserve">Осуществление издательской деятельности   </t>
  </si>
  <si>
    <t>Количество изданий (журналы)</t>
  </si>
  <si>
    <t>Количество изданий (альбомы)</t>
  </si>
  <si>
    <t>Код базовой услуги: 14.001.0</t>
  </si>
  <si>
    <t>Административное обеспечение деятельности организаций</t>
  </si>
  <si>
    <t>Количество отчетов</t>
  </si>
  <si>
    <t>Организация мероприятий иные</t>
  </si>
  <si>
    <t>Количество мероприятий</t>
  </si>
  <si>
    <t>Предоставление консультационных и методических услуг</t>
  </si>
  <si>
    <t>Количество консультаций</t>
  </si>
  <si>
    <t>Код базовой услуги: 14.010.1</t>
  </si>
  <si>
    <t>Государственная служба по охране объектов культурного наследия Забайкальского края</t>
  </si>
  <si>
    <t>Обеспечение сохранности и использования объектов культурного наследия</t>
  </si>
  <si>
    <t>Код бюджетной классификации:  
073 0801 1520112440 611</t>
  </si>
  <si>
    <t xml:space="preserve">Количество документов </t>
  </si>
  <si>
    <t>Министерство физической культуры и спорта Забайкальского края</t>
  </si>
  <si>
    <t>Спортивная подготовка по олимпийским видам спорта</t>
  </si>
  <si>
    <t>Человек</t>
  </si>
  <si>
    <t>011 1103 1820113482 611</t>
  </si>
  <si>
    <t>011 1103 1820113482 621</t>
  </si>
  <si>
    <t>011 0704 1820113427 611</t>
  </si>
  <si>
    <t>Число лиц, прошедших спортивную подготовку на этапах спортивной подготовки</t>
  </si>
  <si>
    <t>Код базовой услуги: 30.001.0</t>
  </si>
  <si>
    <t>Коды бюджетной классификации: 
011 0703 1820113423 611</t>
  </si>
  <si>
    <t xml:space="preserve">Развитие физической культуры и спорта в Забайкальском крае </t>
  </si>
  <si>
    <t>Спортивная подготовка по неолимпийским видам спорта</t>
  </si>
  <si>
    <t>Код базовой услуги: 30.002.0</t>
  </si>
  <si>
    <t>Спортивная подготовка по спорту лиц с поражением ОДА</t>
  </si>
  <si>
    <t>Код базовой услуги: 30.003.0</t>
  </si>
  <si>
    <t>Первичная медико-санитарная помощь</t>
  </si>
  <si>
    <t>Число осмотров</t>
  </si>
  <si>
    <t>Оказание медицинской помощи при проведении официальных физкультурных, спортивных и массово спортивно-зрелищных мероприятий в соответствии с распорядительными документами субъекта Российской Федерации</t>
  </si>
  <si>
    <t>Количество выполненных работ</t>
  </si>
  <si>
    <t>Код базовой услуги: 08.391.0</t>
  </si>
  <si>
    <t>Код базовой услуги: 08.354.1</t>
  </si>
  <si>
    <t>Организация и обеспечение подготовки спортивного резерва</t>
  </si>
  <si>
    <t>Организация и проведение спортивно-оздоровительной работы по развитию физической культуры и спорта среди различных групп населения</t>
  </si>
  <si>
    <t xml:space="preserve">Количество привлеченных лиц </t>
  </si>
  <si>
    <t>Код базовой услуги: 30.028.1</t>
  </si>
  <si>
    <t>Код базовой услуги: 30.031.1</t>
  </si>
  <si>
    <t xml:space="preserve">Количество лиц, прошедших спортивную подготовку </t>
  </si>
  <si>
    <t>Организация развития национальных видов спорта</t>
  </si>
  <si>
    <t>Код базовой услуги: 30.017.1</t>
  </si>
  <si>
    <t>Код базовой услуги: 30.024.1</t>
  </si>
  <si>
    <t>Коды бюджетной классификации: 
011 1103 1820203512 611</t>
  </si>
  <si>
    <t>Организация и проведение официальных спортивных мероприятий (всероссийские, региональные, межмуниципальные)</t>
  </si>
  <si>
    <t>Организация мероприятий по подготовке спортивных сборных команд ( Спортивные сборные команды субъектов Российской Федерации)</t>
  </si>
  <si>
    <t>Код базовой услуги: 30.025.1</t>
  </si>
  <si>
    <t>Код базовой услуги: 30.034.1</t>
  </si>
  <si>
    <t>Обеспечение участия спортивных сборных команд в официальных спортивных мероприятиях (международные, всероссийские, межрегиональные)</t>
  </si>
  <si>
    <t>Обеспечение доступа к объектам спорта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</si>
  <si>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"49.00.00 ФИЗИЧЕСКАЯ КУЛЬТУРА И СПОРТ" углубленной подготовки в училищах олимпийского резерва</t>
  </si>
  <si>
    <t>Количество человек</t>
  </si>
  <si>
    <t>Код базовой услуги: 30.038.1</t>
  </si>
  <si>
    <t>Код базовой услуги: 11.Г61.0</t>
  </si>
  <si>
    <t>Код бюджетной классификации: 
011 1103 1820113482 621</t>
  </si>
  <si>
    <t>Код бюджетной классификации: 
011 0704 1820113427 611</t>
  </si>
  <si>
    <t>Содержание детей</t>
  </si>
  <si>
    <t>Код базовой услуги: 11.Г41.0</t>
  </si>
  <si>
    <t>Предоставление питания</t>
  </si>
  <si>
    <t>Реализация дополнительных предпрофессиональных программ в области физической культуры и спорта</t>
  </si>
  <si>
    <t>Код базовой услуги: 11.Д07.0</t>
  </si>
  <si>
    <t>Код базовой услуги: 11.Д42.0</t>
  </si>
  <si>
    <t>Код бюджетной классификации: 011 0703 1820113423 611</t>
  </si>
  <si>
    <t>Итого по государственной программе "Развитие физической культуры и спорта в Забайкальском крае "</t>
  </si>
  <si>
    <t>Итого по Министерству физической культуры и спорта Забайкальского края</t>
  </si>
  <si>
    <t>Прочиста просек, уход за противопожарными разрывами</t>
  </si>
  <si>
    <t>Министерство труда и социальной защиты населения Забайкальского края</t>
  </si>
  <si>
    <t>Социальная поддержка граждан на 2014-2020 годы</t>
  </si>
  <si>
    <t>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</si>
  <si>
    <t>Число получателей социальных услуг</t>
  </si>
  <si>
    <t>Код базовой услуги: 22.030.0</t>
  </si>
  <si>
    <t>Коды бюджетной классификации: 
009 1002 1720312501 611</t>
  </si>
  <si>
    <t>009 1002 1720312501 621</t>
  </si>
  <si>
    <t>009 1002 1730112502 611</t>
  </si>
  <si>
    <t>009 1002 1720312508 611</t>
  </si>
  <si>
    <t>009 1002 1730112509 621</t>
  </si>
  <si>
    <t>009 1002 1720312508 621</t>
  </si>
  <si>
    <t>Содержание и воспитание детей-сирот и детей, оставшихся без попечения родителей, детей, находящихся в трудной жизненной ситуации</t>
  </si>
  <si>
    <t>Код базовой услуги: 32.002.0</t>
  </si>
  <si>
    <t>Код базовой услуги: 22.032.0</t>
  </si>
  <si>
    <t>Коды бюджетной классификации: 
009 1002 1720312508 611</t>
  </si>
  <si>
    <t>Предоставление социального обслуживания в форме на дому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жизнедеятельност, в том числе детей-инвалидов, срочных социальных услуг</t>
  </si>
  <si>
    <t>Число получателей социальных услуг (очное)</t>
  </si>
  <si>
    <t>Число получателей социальных услуг (заочное)</t>
  </si>
  <si>
    <t>Предоставление социального обслуживания в полустационарной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</t>
  </si>
  <si>
    <t>Код базовой услуги: 22.031.0</t>
  </si>
  <si>
    <t>Подготовка граждан, выразивших желание принять детей-сирот и детей, оставшихся без попечения родителей, на семейные формы устройства</t>
  </si>
  <si>
    <t>Число подготовленных граждан</t>
  </si>
  <si>
    <t>Код базовой услуги: 32.003.0</t>
  </si>
  <si>
    <t>Код бюджетной классификации: 
009 1002 1730112509 611</t>
  </si>
  <si>
    <t>Заключение договоров найма специализированного жилого помещения</t>
  </si>
  <si>
    <t>Код базовой услуги: 28.006.0</t>
  </si>
  <si>
    <t>Код бюджетной классификации: 
009 1002 1730112508 611</t>
  </si>
  <si>
    <t>Код базовой услуги: 13.001.1</t>
  </si>
  <si>
    <t>Количество человеко-часов</t>
  </si>
  <si>
    <t>человеко-час</t>
  </si>
  <si>
    <t>Итого по Министерству труда и социальной защиты населения Забайкальского края</t>
  </si>
  <si>
    <t>Проведение мероприятий по предупреждению и ликвидации заразных и иных болезней животных, включая сельскохозяйственных, домашних, зоопарковых и других животных, пушных зверей, птиц, рыб и пчел и их лечению</t>
  </si>
  <si>
    <t>Оформление и выдача ветеринарных сопроводительных документов</t>
  </si>
  <si>
    <t>Проведение мероприятий по защите населения от болезней общих для человека и животных и пищевых отравлений</t>
  </si>
  <si>
    <t>Код базовой услуги: 12.612.</t>
  </si>
  <si>
    <t>Код базовой услуги: 12.611.</t>
  </si>
  <si>
    <t>Код базовой услуги: 12.613</t>
  </si>
  <si>
    <t>Лабораторные исследования по диагностике и профилактике болезней животных, направленные на обеспечение охраны территории Российской Федерации от заноса из иностранных государств и распространения болезней животных</t>
  </si>
  <si>
    <t xml:space="preserve">Количество мероприятий </t>
  </si>
  <si>
    <t>Количество экспозиций</t>
  </si>
  <si>
    <t>Код бюджетной классификации:  
066 0603 0570317411 611</t>
  </si>
  <si>
    <t>Разведение племенных лошадей</t>
  </si>
  <si>
    <t>004 0801 15103112443 621</t>
  </si>
  <si>
    <t>Код бюджетной классификации: 
004 0801 15103112443 611</t>
  </si>
  <si>
    <t>Код бюджетной классификации: 
004 0801 1510212442 611</t>
  </si>
  <si>
    <t>004 0801 0510112441 621</t>
  </si>
  <si>
    <t>Код бюджетной классификации: 
004 0801 0510112441 611</t>
  </si>
  <si>
    <t>Код бюджетной классификации: 
004 0802 1510412450 611</t>
  </si>
  <si>
    <t>Код бюджетной классификации: 
004 0801 1520112440 611</t>
  </si>
  <si>
    <t>Код бюджетной классификации: 
004 0704 1510512427 611</t>
  </si>
  <si>
    <t>Код бюджетной классификации: 
004 0801 1520212444 611</t>
  </si>
  <si>
    <r>
      <t>Коды бюджетной классификации:</t>
    </r>
    <r>
      <rPr>
        <b/>
        <sz val="12"/>
        <color theme="1"/>
        <rFont val="Times New Roman"/>
        <family val="1"/>
        <charset val="204"/>
      </rPr>
      <t xml:space="preserve"> 
</t>
    </r>
    <r>
      <rPr>
        <sz val="12"/>
        <color theme="1"/>
        <rFont val="Times New Roman"/>
        <family val="1"/>
        <charset val="204"/>
      </rPr>
      <t>004 0801 15103112443 611</t>
    </r>
  </si>
  <si>
    <t>Коды бюджетной классификации: 
004 0801 15103112443 611</t>
  </si>
  <si>
    <t>Коды бюджетной классификации: 
004 0801 1520212444 611</t>
  </si>
  <si>
    <t>Код бюджетной классификации: 
011 1103 1820113482 611</t>
  </si>
  <si>
    <t>Код бюджетной классификации: 012 0309 0210319309 611</t>
  </si>
  <si>
    <t>Код бюджетной классификации: 012 0309 0230219303 611</t>
  </si>
  <si>
    <t>Код бюджетной классификации: 012 0309 0220119247 611</t>
  </si>
  <si>
    <t>Код бюджетной классификации: 012 0309 0220109218 611</t>
  </si>
  <si>
    <t>Код бюджетной классификации: 012 0309 0240119302 611</t>
  </si>
  <si>
    <t>Код бюджетной классификации: 012 0310 0250119310 611</t>
  </si>
  <si>
    <t>Количество документов (оформление и выдача ветеринарных сопроводительных документов)</t>
  </si>
  <si>
    <t>Количество документов (учет, хранение ветеринарных сопроводительных документов)</t>
  </si>
  <si>
    <t>Количество голов (выращивание племенного поголовья лошадей, воспроизводство стада, проведение оценки племенной ценности лошадей)</t>
  </si>
  <si>
    <t xml:space="preserve">Коды бюджетной классификации: 
004 0801 15103112443 611 </t>
  </si>
  <si>
    <t>Коды бюджетной классификации: 
004 0801 0510112441 611</t>
  </si>
  <si>
    <t>Министерство здравоохранения Забайкальского края</t>
  </si>
  <si>
    <t>Развитие здравоохранения Забайкальского края</t>
  </si>
  <si>
    <t xml:space="preserve">Код базовой услуги:  08.200.0 </t>
  </si>
  <si>
    <t>Первичная медико-санитарная помощь, не включенная в базовую программу обязательного медицинского страхования. Первичная медико-санитарная помощь, в части диагностики и лечения</t>
  </si>
  <si>
    <t>Число посещений (наркология, амбулаторно)</t>
  </si>
  <si>
    <t>Число обращений (наркология, амбулаторно)</t>
  </si>
  <si>
    <t>Число посещений (психиатрия, амбулаторно)</t>
  </si>
  <si>
    <t>Число обращений (психиатрия, амбулаторно)</t>
  </si>
  <si>
    <t>условная единица</t>
  </si>
  <si>
    <t>Число посещений (венерология, амбулаторно)</t>
  </si>
  <si>
    <t>Число обращений (венерология, амбулаторно)</t>
  </si>
  <si>
    <t>Число посещений (фтизиатрия, амбулаторно)</t>
  </si>
  <si>
    <t>Число обращений (фтизиатрия, амбулаторно)</t>
  </si>
  <si>
    <t>Число посещений (первичная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психиатрия-наркология, амбулаторно)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</si>
  <si>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</t>
  </si>
  <si>
    <t>Случаев госпитализации (дерматовенерология (в части венерологии), стационар)</t>
  </si>
  <si>
    <t xml:space="preserve">Код базовой услуги:  08.202.0 </t>
  </si>
  <si>
    <t>Случаев госпитализации (психиатрия, стационар)</t>
  </si>
  <si>
    <t>Случаев госпитализации (фтизиатрия, стационар)</t>
  </si>
  <si>
    <t>Случаев госпитализации (психиатрия-наркология (в части наркологии), стационар)</t>
  </si>
  <si>
    <t>Случаев лечения (фтизиатрия, дневной стационар)</t>
  </si>
  <si>
    <t>Случаев лечения (дерматовенерология (в части венерологии), дневной стационар)</t>
  </si>
  <si>
    <t>Случаев лечения (психиатрия, дневной стационар)</t>
  </si>
  <si>
    <t>Случаев лечения (психиатрия-наркология (в части наркологии), дневной стационар)</t>
  </si>
  <si>
    <t>Код базовой услуги:  08.204.0</t>
  </si>
  <si>
    <t xml:space="preserve"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 </t>
  </si>
  <si>
    <t>Число пациентов (скорая, в том числе скорая специализированная, медицинская помощь (за исключением санитарно-авиационной эвакуации), вне медицинской организации.)</t>
  </si>
  <si>
    <t>Количество вызовов (санитарно-авиационная эвакуация, вне медицинской организации)</t>
  </si>
  <si>
    <t>Количество койко-дней (стационар)</t>
  </si>
  <si>
    <t>Код базовой услуги: 08.209.0</t>
  </si>
  <si>
    <t>Паллиативная медицинская помощь</t>
  </si>
  <si>
    <t>Код базовой услуги: 11.Г48.0</t>
  </si>
  <si>
    <t>Реализация дополнительных профессиональных программ повышения квалификации</t>
  </si>
  <si>
    <t>Количество человеко-часов (очная)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</si>
  <si>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</t>
  </si>
  <si>
    <t>Численность обучающихся (34.02.02 Медицинский массаж (для обучения лиц с ограниченными возможностями здоровья по зрению), очная с применением сетевой формы реализации и электронного обучения)</t>
  </si>
  <si>
    <t>Код базовой услуги: 11.Д56.0</t>
  </si>
  <si>
    <t>Численность обучающихся (31.02.02 Акушерское дело, очная с применением сетевой формы реализации, дистанционных образовательных технологий и электронного обучения)</t>
  </si>
  <si>
    <t>Численность обучающихся (31.02.03 Лабораторная диагностика, очная)</t>
  </si>
  <si>
    <t>Численность обучающихся (34.02.01 Сестринское дело,  очно-заочная с применением дистанционных образовательных технологий и электронного обучения)</t>
  </si>
  <si>
    <t>Численность обучающихся (32.02.01 Медико-профилактическое дело, очная с применением дистанционных образовательных технологий и электронного обучения)</t>
  </si>
  <si>
    <t>Код базовой услуги: 11.Д60.0</t>
  </si>
  <si>
    <t>Численность обучающихся (34.00.00 Сестринское дело, очная с применением дистанционных образовательных технологий и электронного обучения)</t>
  </si>
  <si>
    <t>Реализация образовательных программ высшего образования – программ бакалавриата</t>
  </si>
  <si>
    <t>Численность обучающихся (31.02.01 Лечебное дело, очная с применением электронного обучения)</t>
  </si>
  <si>
    <t>Количество экземпляров изданий (газеты, печатная)</t>
  </si>
  <si>
    <t>Код базовой услуги: 09.074.1</t>
  </si>
  <si>
    <t>Техническое сопровождение и эксплуатация, вывод из эксплуатации информационных систем и компонентов информационно-телекоммуникационной инфраструктуры</t>
  </si>
  <si>
    <t>Количество программно-технических средств</t>
  </si>
  <si>
    <t>Работы по профилактике неинфекционных заболеваний, формированию здорового образа жизни и санитарно-гигиеническому просвещению населения</t>
  </si>
  <si>
    <t>Код базовой услуги:  08.328.1</t>
  </si>
  <si>
    <t>Судебно-медицинская экспертиза</t>
  </si>
  <si>
    <t>Количество экспертиз</t>
  </si>
  <si>
    <t>Количество исследований</t>
  </si>
  <si>
    <t>Код базовой услуги: 08.300.1</t>
  </si>
  <si>
    <t>Количество освидетельствований</t>
  </si>
  <si>
    <t>Медицинское освидетельствование на состояние опьянения (алкогольного, наркотического или иного токсического)</t>
  </si>
  <si>
    <t>Код базовой услуги: 08.340.1</t>
  </si>
  <si>
    <t>Патологическая анатомия</t>
  </si>
  <si>
    <t>Количество исследовани</t>
  </si>
  <si>
    <t>Количество вскрытий</t>
  </si>
  <si>
    <t>Код базовой услуги: 08.339.1</t>
  </si>
  <si>
    <t xml:space="preserve">Количество отчетов, составленных по результатам работы </t>
  </si>
  <si>
    <t>Итого по государственной программе "Развитие здравоохранения Забайкальского края"</t>
  </si>
  <si>
    <t>Итого по Министерству здравоохранения Забайкальского края</t>
  </si>
  <si>
    <t>Число посещений (первичная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(ВИЧ-инфекции),амбулаторно)</t>
  </si>
  <si>
    <t>Итого по Государственной службе по охране объектов культурного наследия Забайкальского края</t>
  </si>
  <si>
    <t>Код бюджетной классификации: 
003 0704 1660413427 611</t>
  </si>
  <si>
    <t>003 0704 1660413427 621</t>
  </si>
  <si>
    <t>Коды бюджетной классификации: 
003 0704 1660413427 611</t>
  </si>
  <si>
    <t xml:space="preserve">003 0901 1620913470 611     </t>
  </si>
  <si>
    <t xml:space="preserve">Коды бюджетной классификации: 003 0901 1610413470 611    </t>
  </si>
  <si>
    <t xml:space="preserve">Коды бюджетной классификации: 003 0901 1610413470 611       </t>
  </si>
  <si>
    <t>003 0901 1620913470 611</t>
  </si>
  <si>
    <t xml:space="preserve">Коды бюджетной классификации: 003 0901 1610413470 611   </t>
  </si>
  <si>
    <t xml:space="preserve">Коды бюджетной классификации: 003 0901 1620313470 611 </t>
  </si>
  <si>
    <t>003 0901 1620113470 611</t>
  </si>
  <si>
    <t>Код бюджетной классификации: 003 0901 1620213470 611</t>
  </si>
  <si>
    <t>Код бюджетной классификации: 003 0901 1620913470 611</t>
  </si>
  <si>
    <t>Код бюджетной классификации: 003 0901 1620113470 611</t>
  </si>
  <si>
    <t>003 0901 1620313470 611</t>
  </si>
  <si>
    <t>Коды бюджетной классификации: 003 0901 1610413470 611</t>
  </si>
  <si>
    <t>003 0901 1610413470 611</t>
  </si>
  <si>
    <t>Код бюджетной классификации: 003 0901 1620313470 611</t>
  </si>
  <si>
    <t>Код бюджетной классификации: 003 0704 1660413427 611</t>
  </si>
  <si>
    <t>Код бюджетной классификации: 003 0909 1680513469 611</t>
  </si>
  <si>
    <t>Код бюджетной классификации: 003 0909 1610113469 611</t>
  </si>
  <si>
    <t>Код бюджетной классификации: 003 0909 1620913469 611</t>
  </si>
  <si>
    <t>003 0902 1610413471 611</t>
  </si>
  <si>
    <t xml:space="preserve">Коды бюджетной классификации: 003 0901 1610413470 611                   </t>
  </si>
  <si>
    <t xml:space="preserve">003 0901 1610413470 611         </t>
  </si>
  <si>
    <t>Коды бюджетной классификации: 003 0704 1660413427 611</t>
  </si>
  <si>
    <t>Коды бюджетной классификации: 003 0901 1620913470 611</t>
  </si>
  <si>
    <t>003 0901 1640331470 611</t>
  </si>
  <si>
    <t>003 0901 1610413470 621</t>
  </si>
  <si>
    <t>003 0901 1620913470 621</t>
  </si>
  <si>
    <t>003 0901 1620713470 621</t>
  </si>
  <si>
    <t>003 0901 1620313470 621</t>
  </si>
  <si>
    <t>003 0902 1610413471 621</t>
  </si>
  <si>
    <t xml:space="preserve">
003 0901 1620313470 621</t>
  </si>
  <si>
    <t xml:space="preserve">Код бюджетной классификации:
003 0901 1620313470 611 </t>
  </si>
  <si>
    <t>Министерство образования Забайкальского края</t>
  </si>
  <si>
    <t>Итого по государственной программе "Развитие образования на 2014-2025 годы"</t>
  </si>
  <si>
    <t>Государственная программа Забайкальского края «Развитие образования» на 2014-2025 годы</t>
  </si>
  <si>
    <t>Код базовой услуги: 11.Д57.0</t>
  </si>
  <si>
    <t>Код бюджетной классификации: 
026 0704 1440111427 611</t>
  </si>
  <si>
    <t>Численность обучающихся</t>
  </si>
  <si>
    <t xml:space="preserve">Реализация образовательных программ среднего профессионального образования - программы подготовки квалифицированных рабочих (служащих) и программы подготовки специалистов среднего звена </t>
  </si>
  <si>
    <t>Численность обучающихся (13.01.10  Электромонтер по ремонту и обслуживанию электрооборудования (по отраслям)</t>
  </si>
  <si>
    <t>Численность обучающихся (115.01.26 Токарь-универсал)</t>
  </si>
  <si>
    <t>Численность обучающихся (15.01.30 Слесарь)</t>
  </si>
  <si>
    <t>Численность обучающихся (43.01.06 Проводник на железнодорожном транспорте)</t>
  </si>
  <si>
    <t>Численность обучающихся (23.01.09 Машинист локомотива)</t>
  </si>
  <si>
    <t>Объем средств на финансовое обеспечение оказания государственных услуг (выполнения работ)</t>
  </si>
  <si>
    <t>Численность обучающихся (23.01.10 Слесарь по обслуживанию и ремонту подвижного состава)</t>
  </si>
  <si>
    <t>Численность обучающихся (23.01.13 Электромонтер тяговой подстанции)</t>
  </si>
  <si>
    <t>Численность обучающихся (23.01.14 Электромонтер устройств сигнализации, централизации, блокировки (СЦБ))</t>
  </si>
  <si>
    <t>Численность обучающихся (19.01.17 Повар, кондитер)</t>
  </si>
  <si>
    <t>Численность обучающихся (13.01.03 Электрослесарь по ремонту оборудования электростанций)</t>
  </si>
  <si>
    <t>Численность обучающихся (21.01.16 Обогатитель полезных ископаемых)</t>
  </si>
  <si>
    <t>Численность обучающихся (09.01.03 Мастер по обработке цифровой информации)</t>
  </si>
  <si>
    <t>Численность обучающихся (38.01.02 Продавец, контролер-кассир)</t>
  </si>
  <si>
    <t>Численность обучающихся (15.01.05 Сварщик (ручной и частично механизированной сварки (наплавки) )</t>
  </si>
  <si>
    <t>Численность обучающихся (08.01.18 Электромонтажник электрических сетей и электрооборудования)</t>
  </si>
  <si>
    <t>Численность обучающихся (11.01.08 Оператор связи)</t>
  </si>
  <si>
    <t>Численность обучающихся (29.01.07 Портной)</t>
  </si>
  <si>
    <t>Численность обучающихся (35.01.13 Тракторист-машинист сельскохозяйственного производства)</t>
  </si>
  <si>
    <t>Численность обучающихся (08.01.08 Мастер отделочных строительных работ)</t>
  </si>
  <si>
    <t>Численность обучающихся (23.01.03 Автомеханик)</t>
  </si>
  <si>
    <t>Численность обучающихся (22.01.05 Аппаратчик-оператор в производстве цветных металлов)</t>
  </si>
  <si>
    <t>Численность обучающихся (35.01.14 Мастер по техническому обслуживанию и ремонту машинно-тракторного парка)</t>
  </si>
  <si>
    <t>Численность обучающихся (23.01.06 Машинист дорожных и строительных машин)</t>
  </si>
  <si>
    <t>Численность обучающихся (19.01.14 Оператор процессов колбасного производства)</t>
  </si>
  <si>
    <t>Численность обучающихся (38.01.03 Контролер банка)</t>
  </si>
  <si>
    <t>Численность обучающихся (43.01.01 Официант, бармен)</t>
  </si>
  <si>
    <t>Численность обучающихся (36.01.01 Младший ветеринарный фельдшер)</t>
  </si>
  <si>
    <t>Численность обучающихся (35.01.01 Мастер по лесному хозяйству)</t>
  </si>
  <si>
    <t>Численность обучающихся (08.01.05 Мастер столярно-плотничных и паркетных работ)</t>
  </si>
  <si>
    <t>Численность обучающихся (23.01.08 Слесарь по ремонту строительных машин)</t>
  </si>
  <si>
    <t>Численность обучающихся (23.01.07 Машинист крана (крановщик))</t>
  </si>
  <si>
    <t>Численность обучающихся (08.01.06 Мастер сухого строительства)</t>
  </si>
  <si>
    <t>Численность обучающихся (08.01.10 Мастер ЖКХ)</t>
  </si>
  <si>
    <t>Численность обучающихся (08.01.07 Мастер общестроительных работ)</t>
  </si>
  <si>
    <t>Численность обучающихся (11.01.05 Монтажник связи)</t>
  </si>
  <si>
    <t>Численность обучающихся (21.01.08 Машинист на открытых горных работах)</t>
  </si>
  <si>
    <t>Код бюджетной классификации: 
026 0704 1440111427 621</t>
  </si>
  <si>
    <t>Численность обучающихся (15.01.20 Слесарь по контрольно-измерительным приборам и автоматике)</t>
  </si>
  <si>
    <t>Численность обучающихся (35.01.15 Электромонтер по ремонту и обслуживанию электрооборудования в сельскохозяйственном производстве)</t>
  </si>
  <si>
    <t>Численность обучающихся (21.01.10 Ремонтник горного оборудования)</t>
  </si>
  <si>
    <t>Реализация образовательных программ среднего профессионального образования - программы подготовки квалифицированных рабочих (служащих) и программы подготовки специалистов среднего звена 190623.01 Машинист локомотива</t>
  </si>
  <si>
    <t>Код базовой услуги: 11.512.0</t>
  </si>
  <si>
    <t>Реализация образовательных программ среднего профессионального образования - программы подготовки квалифицированных рабочих (служащих) и программы подготовки специалистов среднего звена 15.01.05 Сварщик (электросварочные и газосварочные работы)</t>
  </si>
  <si>
    <t>Код базовой услуги: 11.544.0</t>
  </si>
  <si>
    <t>Реализация образовательных программ среднего профессионального образования - программы подготовки квалифицированных рабочих (служащих) и программы подготовки специалистов среднего звена 23.01.03 Автомеханик</t>
  </si>
  <si>
    <t>Код базовой услуги: 11.550.0</t>
  </si>
  <si>
    <t>Код бюджетной классификации: 026 0704 1440111427 611</t>
  </si>
  <si>
    <t>Код базовой услуги: 11.587.0</t>
  </si>
  <si>
    <t>Численность обучающихся (260203 Технология мяса и мясных продуктов)</t>
  </si>
  <si>
    <t>Численность обучающихся (260807 Технология продукции общественного питания)</t>
  </si>
  <si>
    <t>Численность обучающихся (260103 Технология хлеба, кондитерских и макаронных изделий)</t>
  </si>
  <si>
    <t>Реализация образовательных программ среднего профессионального образования - программы подготовки квалифицированных рабочих (служащих) и программы подготовки специалистов среднего звена</t>
  </si>
  <si>
    <t>Численность обучающихся (19.02.08 Технология мяса и мясных продуктов)</t>
  </si>
  <si>
    <t>Численность обучающихся (23.02.02 Техническая эксплуатация подъемно-транспортных, строительных, дорожных машин и оборудования (по отраслям))</t>
  </si>
  <si>
    <t>Численность обучающихся (23.02.03 Техническое обслуживание и ремонт автомобильного транспорта)</t>
  </si>
  <si>
    <t>Численность обучающихся (08.02.09 Монтаж, наладка и эксплуатация электрооборудования промышленных и гражданских зданий)</t>
  </si>
  <si>
    <t>Численность обучающихся (15.02.01 Монтаж и техническая эксплуатация промышленного оборудования)</t>
  </si>
  <si>
    <t>Численность обучающихся (38.02.01 Экономика и бухгалтерский учет (по отраслям))</t>
  </si>
  <si>
    <t>Численность обучающихся (09.02.03 Программирование в компьютерных системах)</t>
  </si>
  <si>
    <t>Численность обучающихся (09.02.01 Компьютерные системы и комплексы)</t>
  </si>
  <si>
    <t>Численность обучающихся (13.01.06 Геологическая съемка, поиски и разведка месторождений полезных ископаемых)</t>
  </si>
  <si>
    <t>Численность обучающихся (13.02.11 Техническая эксплуатация и обслуживание электрического и электромеханического оборудования (по отраслям))</t>
  </si>
  <si>
    <t>Численность обучающихся (21.02.15 Открытые горные работы)</t>
  </si>
  <si>
    <t>Численность обучающихся (21.02.17 Подземная разработка месторождений полезных ископаемых)</t>
  </si>
  <si>
    <t>Численность обучающихся (21.02.18 Обогащение полезных ископаемых)</t>
  </si>
  <si>
    <t>Численность обучающихся (21.02.14 Маркшейдерское дело)</t>
  </si>
  <si>
    <t>Численность обучающихся (20.02.01 Рациональное использование природохозяйственных комплексов)</t>
  </si>
  <si>
    <t>Численность обучающихся (44.02.06 Профессиональное обучение (по отраслям))</t>
  </si>
  <si>
    <t>Численность обучающихся (54.02.01 Дизайн (по отраслям))</t>
  </si>
  <si>
    <t>Численность обучающихся (19.02.10 Технология продукции общественного питания)</t>
  </si>
  <si>
    <t>Численность обучающихся (21.02.06 Информационные системы обеспечения градостроительной деятельности)</t>
  </si>
  <si>
    <t>Численность обучающихся (36.02.01 Ветеринария)</t>
  </si>
  <si>
    <t>Численность обучающихся (35.02.08 Электрификация и автоматизация сельского хозяйства)</t>
  </si>
  <si>
    <t>Численность обучающихся (09.02.02 Компьютерные сети)</t>
  </si>
  <si>
    <t>Численность обучающихся (19.02.03 Технология хлеба, кондитерских и макаронных изделий)</t>
  </si>
  <si>
    <t>Численность обучающихся (19.02.07 Технология молока и молочных продуктов)</t>
  </si>
  <si>
    <t>Численность обучающихся (23.02.01 Организация перевозок и управление на транспорте)</t>
  </si>
  <si>
    <t>Численность обучающихся (35.02.15 Кинология)</t>
  </si>
  <si>
    <t>Численность обучающихся (35.02.05 Агрономия)</t>
  </si>
  <si>
    <t>Численность обучающихся (36.02.02 Зоотехния)</t>
  </si>
  <si>
    <t>Численность обучающихся (44.02.01 Дошкольное образование)</t>
  </si>
  <si>
    <t>Численность обучающихся (44.02.02 Преподавание в начальных классах)</t>
  </si>
  <si>
    <t>Численность обучающихся (54.02.06 Изобразительное искусство и черчение)</t>
  </si>
  <si>
    <t>Численность обучающихся (44.02.03 Педагогика дополнительного образования (с указанием области деятельности))</t>
  </si>
  <si>
    <t>Численность обучающихся (44.02.04 Специальное дошкольное образование)</t>
  </si>
  <si>
    <t>Численность обучающихся (35.02.01 Лесное и лесопарковое хозяйство)</t>
  </si>
  <si>
    <t>Численность обучающихся (35.02.03 Технология деревообработки)</t>
  </si>
  <si>
    <t>Численность обучающихся (35.02.12 Садово-парковое и ландшафтное строительство)</t>
  </si>
  <si>
    <t>Численность обучающихся (21.02.08 Прикладная геодезия)</t>
  </si>
  <si>
    <t>Численность обучающихся (13.02.06 Релейная защита и автоматизация электроэнергетических систем)</t>
  </si>
  <si>
    <t>Численность обучающихся (8.02.02 Страховое дело (по отраслям))</t>
  </si>
  <si>
    <t>Численность обучающихся (13.02.02 Теплоснабжение и теплотехническое оборудование)</t>
  </si>
  <si>
    <t>Численность обучающихся (08.02.01 Строительство и эксплуатация зданий и сооружений)</t>
  </si>
  <si>
    <t>Численность обучающихся (07.02.01 Архитектура)</t>
  </si>
  <si>
    <t>Численность обучающихся (08.02.07 Монтаж и эксплуатация внутренних сантехнических устройств, кондиционирования воздуха и вентиляции)</t>
  </si>
  <si>
    <t>Численность обучающихся (08.02.05 Строительство и эксплуатация автомобильных дорог и аэродромов)</t>
  </si>
  <si>
    <t>Численность обучающихся (08.02.11 Управление, эксплуатация и обслуживание многоквартирного дома)</t>
  </si>
  <si>
    <t>Численность обучающихся (21.02.05 Земельно-имущественные отношения)</t>
  </si>
  <si>
    <t>Численность обучающихся (27.02.04 Автоматические системы управления)</t>
  </si>
  <si>
    <t>Численность обучающихся (15.02.07 Автоматизация технологических процессов и производств)</t>
  </si>
  <si>
    <t>Коды бюджетной классификации: 
026 0704 1440111427 611</t>
  </si>
  <si>
    <t>026 0704 1440111427 621</t>
  </si>
  <si>
    <t>Численность обучающихся (44.02.05 Коррекционная педагогика в начальном образовании)</t>
  </si>
  <si>
    <t>Численность обучающихся (39.02.02 Организация сурдокоммуникации)</t>
  </si>
  <si>
    <t>Численность обучающихся (39.02.01 Социальная работа)</t>
  </si>
  <si>
    <t>Численность обучающихся (49.02.01 Физическая культура)</t>
  </si>
  <si>
    <t>Численность обучающихся (53.02.01 Музыкальное образование)</t>
  </si>
  <si>
    <t>Численность обучающихся (13.02.03 Электрические станции, сети и системы)</t>
  </si>
  <si>
    <t>Код базовой услуги: 11.580.0</t>
  </si>
  <si>
    <t>Численность обучающихся (190629 Техническая эксплуатация подъемно-транспортных, строительных, дорожных машин и оборудования (по отраслям))</t>
  </si>
  <si>
    <t>Численность обучающихся (190701 Организация перевозок и управление на транспорте)</t>
  </si>
  <si>
    <t>Численность обучающихся (190631 Техническое обслуживание и ремонт автомобильного транспорта)</t>
  </si>
  <si>
    <t>Реализация образовательных программ среднего профессионального образования - программы подготовки квалифицированных рабочих (служащих) и программы подготовки специалистов среднего звена 151031 Монтаж и техническая эксплуатация промышленного оборудования</t>
  </si>
  <si>
    <t>Код базовой услуги: 11.577.0</t>
  </si>
  <si>
    <t xml:space="preserve">Численность обучающихся </t>
  </si>
  <si>
    <t>Код базовой услуги: 11.570.0</t>
  </si>
  <si>
    <t>Численность обучающихся (080114 Экономика и бухгалтерский учет (по отраслям))</t>
  </si>
  <si>
    <t>Численность обучающихся (140407 Электрические станции, сети и системы)</t>
  </si>
  <si>
    <t>Код базовой услуги: 11.584.0</t>
  </si>
  <si>
    <t>Численность обучающихся (230115 Программирование в компьютерных системах)</t>
  </si>
  <si>
    <t>Численность обучающихся (230113 Компьютерные системы и комплексы)</t>
  </si>
  <si>
    <t>Код базовой услуги: 11.575.0</t>
  </si>
  <si>
    <t>Численность обучающихся (130106 Геологическая съемка, поиски и разведка месторождений полезных ископаемых)</t>
  </si>
  <si>
    <t>Численность обучающихся (130404 Открытые горные работы)</t>
  </si>
  <si>
    <t>Численность обучающихся (130405 Подземная разработка месторождений полезных ископаемых)</t>
  </si>
  <si>
    <t>Численность обучающихся (130406 Обогащение полезных ископаемых)</t>
  </si>
  <si>
    <t>Реализация образовательных программ среднего профессионального образования - программы подготовки квалифицированных рабочих (служащих) и программы подготовки специалистов среднего звена 140448 Техническая эксплуатация и обслуживание электрического и электромеханического оборудования (по отраслям)</t>
  </si>
  <si>
    <t>Код базовой услуги: 11.576.0</t>
  </si>
  <si>
    <t>Реализация образовательных программ среднего профессионального образования - программы подготовки квалифицированных рабочих (служащих) и программы подготовки специалистов среднего звена 21.02.15 Открытые горные работы</t>
  </si>
  <si>
    <t>Код базовой услуги: 11.603.0</t>
  </si>
  <si>
    <t>Реализация образовательных программ среднего профессионального образования - программы подготовки квалифицированных рабочих (служащих) и программы подготовки специалистов среднего звена 130403 Маркшейдерское дело</t>
  </si>
  <si>
    <t>Код базовой услуги: 11.727.0</t>
  </si>
  <si>
    <t>Код базовой услуги: 11.719.0</t>
  </si>
  <si>
    <t>Численность обучающихся (051001 Профессиональное обучение (по отраслям))</t>
  </si>
  <si>
    <t>Численность обучающихся (050144 Дошкольное образование)</t>
  </si>
  <si>
    <t>Реализация образовательных программ среднего профессионального образования - программы подготовки квалифицированных рабочих (служащих) и программы подготовки специалистов среднего звена 072501 Дизайн (по отраслям)</t>
  </si>
  <si>
    <t>Реализация образовательных программ среднего профессионального образования - программы подготовки квалифицированных рабочих (служащих) и программы подготовки специалистов среднего звена 120703 Информационные системы обеспечения градостроительной деятельности</t>
  </si>
  <si>
    <t>Код базовой услуги: 11.574.0</t>
  </si>
  <si>
    <t>Код базовой услуги: 11.569.0</t>
  </si>
  <si>
    <t>Код базовой услуги: 11.573.0</t>
  </si>
  <si>
    <t>Численность обучающихся (111801 Ветеринария)</t>
  </si>
  <si>
    <t>Численность обучающихся (110810 Электрификация и автоматизация сельского хозяйства)</t>
  </si>
  <si>
    <t>Численность обучающихся (111701 Кинология)</t>
  </si>
  <si>
    <t>Численность обучающихся (110401 Агрономия)</t>
  </si>
  <si>
    <t>Реализация образовательных программ среднего профессионального образования - программы подготовки квалифицированных рабочих (служащих) и программы подготовки специалистов среднего звена 111101 Зоотехния</t>
  </si>
  <si>
    <t>Код базовой услуги: 11.567.0</t>
  </si>
  <si>
    <t xml:space="preserve">Численность обучающихся (050146 Преподавание в начальных классах) </t>
  </si>
  <si>
    <t xml:space="preserve">Численность обучающихся (050139 Изобразительное искусство и черчение) </t>
  </si>
  <si>
    <t xml:space="preserve">Численность обучающихся (050130 Музыкальное образование) </t>
  </si>
  <si>
    <t xml:space="preserve">Численность обучающихся (51001 Профессиональное обучение (по отраслям)) </t>
  </si>
  <si>
    <t>Код базовой услуги: 11.586.0</t>
  </si>
  <si>
    <t xml:space="preserve">Численность обучающихся (250110 Лесное и лесопарковое хозяйство) </t>
  </si>
  <si>
    <t xml:space="preserve">Численность обучающихся (250401 Технология деревообработки) </t>
  </si>
  <si>
    <t>Код базовой услуги: 11.588.0</t>
  </si>
  <si>
    <t xml:space="preserve">Численность обучающихся (270843 Монтаж, наладка и эксплуатация электрооборудования промышленных и гражданских зданий) </t>
  </si>
  <si>
    <t xml:space="preserve">Численность обучающихся (270802 Строительство и эксплуатация зданий и сооружений) </t>
  </si>
  <si>
    <t xml:space="preserve">Численность обучающихся (270101 Архитектура) </t>
  </si>
  <si>
    <t xml:space="preserve">Численность обучающихся (270839 Монтаж и эксплуатация внутренних сантехнических устройств, кондиционирования воздуха и вентиляции) </t>
  </si>
  <si>
    <t xml:space="preserve">Численность обучающихся (270831 Строительство и эксплуатация автомобильных дорог и аэродромов) 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</si>
  <si>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 и должностям служащих</t>
  </si>
  <si>
    <t>Код базовой услуги: 11.Г51.0</t>
  </si>
  <si>
    <t>Реализация основных общеобразовательных программ  начального общего образования</t>
  </si>
  <si>
    <t>Код базовой услуги: 11.787.0</t>
  </si>
  <si>
    <t>Реализация основных общеобразовательных программ основного общего образования</t>
  </si>
  <si>
    <t>Код базовой услуги: 11.791.0</t>
  </si>
  <si>
    <t>Код бюджетной классификации: 
026 0702 1420111422 611</t>
  </si>
  <si>
    <t>Коды бюджетной классификации: 
026 0702 1420111422 611</t>
  </si>
  <si>
    <t>026 0702 1420111433 611</t>
  </si>
  <si>
    <t>Реализация основных общеобразовательных программ среднего общего образования</t>
  </si>
  <si>
    <t>Код базовой услуги: 11.794.0</t>
  </si>
  <si>
    <t>Код базовой услуги: 11.Г42.0</t>
  </si>
  <si>
    <t>Реализация дополнительных общеразвивающих программ</t>
  </si>
  <si>
    <t xml:space="preserve">026 0709 1480111445 611 </t>
  </si>
  <si>
    <t xml:space="preserve">026 0703 1430111423 611 </t>
  </si>
  <si>
    <t xml:space="preserve">Первичная медико-санитарная помощь, включенная в базовую программу обязательного медицинского страхования  </t>
  </si>
  <si>
    <t>Код базовой услуги: 08.200.0</t>
  </si>
  <si>
    <t>Коррекционно-развивающая, компенсирующая и логопедическая помощь обучающимся</t>
  </si>
  <si>
    <t>Код базовой услуги: 11.Г54.0</t>
  </si>
  <si>
    <t>Психолого-педагогическое консультирование обучающихся, их родителей (законных представителей) и педагогических работников</t>
  </si>
  <si>
    <t>Код базовой услуги: 11.Г52.0</t>
  </si>
  <si>
    <t>Психолого-медико-педагогическое обследование детей</t>
  </si>
  <si>
    <t xml:space="preserve">Коды бюджетной классификации: 
026 0709 1480111445 611 </t>
  </si>
  <si>
    <t>Число обучающихся</t>
  </si>
  <si>
    <t xml:space="preserve">Реализация дополнительных предпрофессиональных программ в области физической культуры и спорта </t>
  </si>
  <si>
    <t>Число обучающихся (этап начальной подготовки)</t>
  </si>
  <si>
    <t xml:space="preserve">Код бюджетной классификации: 
026 0709 1480111445 611 </t>
  </si>
  <si>
    <t>Число обучающихся (тренировочный этап)</t>
  </si>
  <si>
    <t>Число обучающихся (этап спортивного совершенствования)</t>
  </si>
  <si>
    <t xml:space="preserve">Код бюджетной классификации: 
026 0703 1430111423 611 </t>
  </si>
  <si>
    <t>Код базовой услуги: 11.Г53.0</t>
  </si>
  <si>
    <t>Число обучающихся, родителей (законных представителей), педагогических работников</t>
  </si>
  <si>
    <t xml:space="preserve"> 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</si>
  <si>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Код базовой услуги: 11.034.1</t>
  </si>
  <si>
    <t>Количество участников</t>
  </si>
  <si>
    <t>Количество участников мероприятия</t>
  </si>
  <si>
    <t>Количество отчетов, составленных по результатам работы</t>
  </si>
  <si>
    <t>Код базовой услуги: 14.012.1</t>
  </si>
  <si>
    <t>Количество обучающихся (слушателей), прошедших итоговую аттестацию, в общей численности  в общей численности  обучающихся (слушателей)</t>
  </si>
  <si>
    <t>Коды бюджетной классификации: 
026 0705 1470111429 611</t>
  </si>
  <si>
    <t>026 0705 1470111429 621</t>
  </si>
  <si>
    <t>Реализация дополнительных профессиональных программ профессиональной переподготовки</t>
  </si>
  <si>
    <t>Код базовой услуги: 11.Г47.0</t>
  </si>
  <si>
    <t>Код бюджетной классификации: 
026 0705 1470111429 611</t>
  </si>
  <si>
    <t>Количество проведенных мероприятий  </t>
  </si>
  <si>
    <t>Код базовой услуги: 14.009.0</t>
  </si>
  <si>
    <t>Код бюджетной классификации: 
026 0705 1470111429 621</t>
  </si>
  <si>
    <t>Организация и методическое сопровождение культурно-досуговой деятельности, деятельности учреждений дополнительного образования детей (курсовая сеть, клубы, секции), проведение массовых социально значимых мероприятий</t>
  </si>
  <si>
    <t>Количество учетных записей</t>
  </si>
  <si>
    <t xml:space="preserve">Количество   пользователей </t>
  </si>
  <si>
    <t>Техническое сопровождение и эксплуатация, вывод из эксплуатации информационных систем и компонентов информационно-телекоммуникационной инфраструктуры(информационные системы обеспечения типовой деятельности)</t>
  </si>
  <si>
    <t>Код бюджетной классификации: 
026 0709 1450311452 611</t>
  </si>
  <si>
    <t>026 0705 1470111429 611</t>
  </si>
  <si>
    <t xml:space="preserve">Количество </t>
  </si>
  <si>
    <t>Код бюджетной классификации: 
026 0709 1490111455 611</t>
  </si>
  <si>
    <t>Организация и осуществление транспортного обслуживания должностных лиц, государственных органов и государственных учреждений</t>
  </si>
  <si>
    <t>тыс.ваг (маш).ч</t>
  </si>
  <si>
    <t>Организация досуга детей, подростков и молодежи</t>
  </si>
  <si>
    <t>Код бюджетной классификации: 
026 0707 1460111435 621</t>
  </si>
  <si>
    <t>026 0707 1460111435 621</t>
  </si>
  <si>
    <t>2.</t>
  </si>
  <si>
    <t>2.1</t>
  </si>
  <si>
    <t>2.2</t>
  </si>
  <si>
    <t>Коды бюджетной классификации: 
003 0904 1620713477 611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</si>
  <si>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</si>
  <si>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</si>
  <si>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</si>
  <si>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</si>
  <si>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</si>
  <si>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</si>
  <si>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</si>
  <si>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</si>
  <si>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</si>
  <si>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</si>
  <si>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</si>
  <si>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</si>
  <si>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3.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</si>
  <si>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</si>
  <si>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</si>
  <si>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</si>
  <si>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</si>
  <si>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</si>
  <si>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</si>
  <si>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</si>
  <si>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</si>
  <si>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</si>
  <si>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</si>
  <si>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</si>
  <si>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</si>
  <si>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</si>
  <si>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</si>
  <si>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</si>
  <si>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</si>
  <si>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</si>
  <si>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</si>
  <si>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</si>
  <si>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</si>
  <si>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</si>
  <si>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</si>
  <si>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</si>
  <si>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5.</t>
  </si>
  <si>
    <t>5.1</t>
  </si>
  <si>
    <t>5.2</t>
  </si>
  <si>
    <t>5.3</t>
  </si>
  <si>
    <t>5.4</t>
  </si>
  <si>
    <t>5.5</t>
  </si>
  <si>
    <t>5.6</t>
  </si>
  <si>
    <t>5.7</t>
  </si>
  <si>
    <t>5.8</t>
  </si>
  <si>
    <t>6.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</si>
  <si>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</si>
  <si>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</si>
  <si>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</si>
  <si>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</si>
  <si>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</si>
  <si>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</si>
  <si>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</si>
  <si>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</si>
  <si>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</si>
  <si>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</si>
  <si>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</si>
  <si>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</si>
  <si>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</si>
  <si>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</si>
  <si>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</si>
  <si>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</si>
  <si>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7.</t>
  </si>
  <si>
    <t>7.1</t>
  </si>
  <si>
    <t>7.2</t>
  </si>
  <si>
    <t>7.3</t>
  </si>
  <si>
    <t>7.4</t>
  </si>
  <si>
    <t>7.5</t>
  </si>
  <si>
    <t>7.6</t>
  </si>
  <si>
    <t>8.</t>
  </si>
  <si>
    <t>8.1</t>
  </si>
  <si>
    <t>8.2</t>
  </si>
  <si>
    <t>8.3</t>
  </si>
  <si>
    <t>8.4</t>
  </si>
  <si>
    <t>8.5</t>
  </si>
  <si>
    <t>9.</t>
  </si>
  <si>
    <t>10.</t>
  </si>
  <si>
    <t>10.1</t>
  </si>
  <si>
    <t>11.</t>
  </si>
  <si>
    <t>11.1</t>
  </si>
  <si>
    <t>11.2</t>
  </si>
  <si>
    <t>13.3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</si>
  <si>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</si>
  <si>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</si>
  <si>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</si>
  <si>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</si>
  <si>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</si>
  <si>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</si>
  <si>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</si>
  <si>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</si>
  <si>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</si>
  <si>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</si>
  <si>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</si>
  <si>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</si>
  <si>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</si>
  <si>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</si>
  <si>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</si>
  <si>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</si>
  <si>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</si>
  <si>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</si>
  <si>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11.21</t>
  </si>
  <si>
    <t>11.22</t>
  </si>
  <si>
    <t>11.23</t>
  </si>
  <si>
    <t>11.24</t>
  </si>
  <si>
    <t>11.25</t>
  </si>
  <si>
    <t>11.26</t>
  </si>
  <si>
    <t>11.27</t>
  </si>
  <si>
    <t>11.28</t>
  </si>
  <si>
    <t>11.29</t>
  </si>
  <si>
    <t>11.30</t>
  </si>
  <si>
    <t>11.31</t>
  </si>
  <si>
    <t>11.33</t>
  </si>
  <si>
    <t>11.34</t>
  </si>
  <si>
    <t>11.35</t>
  </si>
  <si>
    <t>11.36</t>
  </si>
  <si>
    <t>11.37</t>
  </si>
  <si>
    <t>11.38</t>
  </si>
  <si>
    <t>11.39</t>
  </si>
  <si>
    <t>11.40</t>
  </si>
  <si>
    <t>11.41</t>
  </si>
  <si>
    <t>11.42</t>
  </si>
  <si>
    <t>11.43</t>
  </si>
  <si>
    <t>11.44</t>
  </si>
  <si>
    <t>11.45</t>
  </si>
  <si>
    <t>11.46</t>
  </si>
  <si>
    <t>11.47</t>
  </si>
  <si>
    <t>11.48</t>
  </si>
  <si>
    <t>11.49</t>
  </si>
  <si>
    <t>12.</t>
  </si>
  <si>
    <t>12.1</t>
  </si>
  <si>
    <t>12.2</t>
  </si>
  <si>
    <t>12.3</t>
  </si>
  <si>
    <t>12.4</t>
  </si>
  <si>
    <t>12.5</t>
  </si>
  <si>
    <t>12.6</t>
  </si>
  <si>
    <t>13.</t>
  </si>
  <si>
    <t>13.1</t>
  </si>
  <si>
    <t>13.2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</si>
  <si>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</si>
  <si>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</si>
  <si>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</si>
  <si>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</si>
  <si>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</si>
  <si>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</si>
  <si>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</si>
  <si>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</si>
  <si>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</si>
  <si>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</si>
  <si>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</si>
  <si>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</si>
  <si>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</si>
  <si>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</si>
  <si>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</si>
  <si>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</si>
  <si>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</si>
  <si>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14</t>
  </si>
  <si>
    <t>14.1</t>
  </si>
  <si>
    <t>14.2</t>
  </si>
  <si>
    <t>14.3</t>
  </si>
  <si>
    <t>14.4</t>
  </si>
  <si>
    <t>14.5</t>
  </si>
  <si>
    <t>14.6</t>
  </si>
  <si>
    <t>15.</t>
  </si>
  <si>
    <t>Численность обучающихся (23.01.17 Мастер по ремонту и обслуживанию автомобилей )</t>
  </si>
  <si>
    <t>Численность обучающихся (09.02.06 Сетевое и системное администрирование)</t>
  </si>
  <si>
    <t>Численность обучающихся (23.02.07 Техническое обслуживание и ремонт двигателей, систем и агрегатов )</t>
  </si>
  <si>
    <t>Численность обучающихся (35.02.07 Механизация сельского хозяйства)</t>
  </si>
  <si>
    <t>Код базовой услуги: 11.725.0</t>
  </si>
  <si>
    <t>Численность обучающихся (09.02.07 Информационные системы и программирование)</t>
  </si>
  <si>
    <t>Оценка исполнения за 2018 год</t>
  </si>
  <si>
    <t>2019 год</t>
  </si>
  <si>
    <t>2020 год</t>
  </si>
  <si>
    <t>2021 год</t>
  </si>
  <si>
    <t>Сведения о планируемых объемах оказания государственных услуг (работ) государственными бюджетными и автономными учреждениями Забайкальского края, а также о планируемых объемах субсидий на их финансовое обеспечение</t>
  </si>
  <si>
    <t>Код базовой услуги: 14.002.1</t>
  </si>
  <si>
    <t xml:space="preserve">Количество номеров изданий </t>
  </si>
  <si>
    <t>Количество экземпляров изданий</t>
  </si>
  <si>
    <t xml:space="preserve">Социально-экономическое
развитие Агинского Бурятского округа Забайкальского края на 2014-2021 годы
</t>
  </si>
  <si>
    <t>Итого по государственной программе "Социально-экономическое
развитие Агинского Бурятского округа Забайкальского края на 2014- 2021 годы"</t>
  </si>
  <si>
    <t>Количество пользователей</t>
  </si>
  <si>
    <t>Количество центров обработки данных</t>
  </si>
  <si>
    <t>Количество серверного технического оборудования и оборудования центра обработки данных</t>
  </si>
  <si>
    <t>Количество ЦОД  (Техническая поддержка и обеспечение функционирования)</t>
  </si>
  <si>
    <t>Количество компонентов инфраструктуры электронного правительства (Обеспечение технологического процесса)</t>
  </si>
  <si>
    <t>Количество центров обработки данных (Обеспечение технологического процесса)</t>
  </si>
  <si>
    <t>Количество ИС обеспечения специальной деятельности (Обеспечение технологического процесса)</t>
  </si>
  <si>
    <t>Количество ИС обеспечения типовой деятельности (Обеспечение технологического процесса)</t>
  </si>
  <si>
    <t>Количество пользователей  (Центр обработки данных. Техническая поддержка и обеспечение функционирования средств вычислительной техники)</t>
  </si>
  <si>
    <t>Количество программно-технических средств  (Центр обработки данных. Техническая поддержка и обеспечение функционирования средств вычислительной техники)</t>
  </si>
  <si>
    <t>Количество показателей функционирвания  (Центр обработки данных. Техническая поддержка и обеспечение функционирования средств вычислительной техники)</t>
  </si>
  <si>
    <t>Количество пользователей  (ИС обеспечения типовой деятельности. Техническая поддержка и обеспечение функционирования средств вычислительной техники)</t>
  </si>
  <si>
    <t>Количество автоматизированных рабочих мест  (ИС обеспечения типовой деятельности. Техническая поддержка и обеспечение функционирования средств вычислительной техники)</t>
  </si>
  <si>
    <t>Количество учетных записей  (ИС обеспечения типовой деятельности. Техническая поддержка и обеспечение функционирования средств вычислительной техники)</t>
  </si>
  <si>
    <t>Количество показателей функционирования  (ИС обеспечения типовой деятельности. Техническая поддержка и обеспечение функционирования средств вычислительной техники)</t>
  </si>
  <si>
    <t>Количество программно-техничеких средств  (ИС обеспечения типовой деятельности. Техническая поддержка и обеспечение функционирования средств вычислительной техники)</t>
  </si>
  <si>
    <t>Количество ИС обеспечения типовой деятельности  (Техническая поддержка и обеспечение функционирования средств вычислительной техники)</t>
  </si>
  <si>
    <t>Количество пользователей (ИС обеспечения специальной деятельности. Техническая поддержка и обеспечение функционирования средств вычислительной техники)</t>
  </si>
  <si>
    <t>Количество автоматизированных рабочих мест (ИС обеспечения специальной деятельности. Техническая поддержка и обеспечение функционирования средств вычислительной техники)</t>
  </si>
  <si>
    <t>Количество программно-технических средств (ИС обеспечения специальной деятельности. Техническая поддержка и обеспечение функционирования средств вычислительной техники)</t>
  </si>
  <si>
    <t>Количество ИС обеспечения специальной деятельности (Техническая поддержка и обеспечение функционирования средств вычислительной техники)</t>
  </si>
  <si>
    <t>Количество государственных услуг, предоставляемых в электронном виде (Компоненты инфраструктуры электронного правительства. Техническая поддержка и обеспечение функционирования средств вычислительной техники)</t>
  </si>
  <si>
    <t>Количество компонентов инфраструктуры электронного правительства (Техническая поддержка и обеспечение функционирования средств вычислительной техники)</t>
  </si>
  <si>
    <t>Количество пользователей (Техническая поддержка и обеспечение функционирования средств вычислительной техники)</t>
  </si>
  <si>
    <t>Количество автоматизированных рабочих мест (Техническая поддержка и обеспечение функционирования средств вычислительной техники)</t>
  </si>
  <si>
    <t>Количество учетных записей (Техническая поддержка и обеспечение функционирования средств вычислительной техники)</t>
  </si>
  <si>
    <t>Количество программно-технических средств (Техническая поддержка и обеспечение функционирования средств вычислительной техники)</t>
  </si>
  <si>
    <t>Количество государственных услуг, предоставляемых в электронном виде (Техническая поддержка и обеспечение функционирования средств вычислительной техники)</t>
  </si>
  <si>
    <t>Количество показателей функционирования (Техническая поддержка и обеспечение функционирования средств вычислительной техники)</t>
  </si>
  <si>
    <t>Количество типовых компонентов ИТКИ (Техническая поддержка и обеспечение функционирования средств вычислительной техники)</t>
  </si>
  <si>
    <t>Количество пользователей (Обеспечение технологического процесса)</t>
  </si>
  <si>
    <t>Количество автоматизированных рабочих мест (Обеспечение технологического процесса)</t>
  </si>
  <si>
    <t>Количество учетных записей (Обеспечение технологического процесса)</t>
  </si>
  <si>
    <t>Количество программно-технических средств (Обеспечение технологического процесса)</t>
  </si>
  <si>
    <t>Количество государственных услуг, предоставляемых в электронном виде (Обеспечение технологического процесса)</t>
  </si>
  <si>
    <t>Количество показателей функционирования (Обеспечение технологического процесса)</t>
  </si>
  <si>
    <t>Количество типовых компонентов инфраструктуры электронного правительства (Обеспечение технологического процесса)</t>
  </si>
  <si>
    <t>Количество автоматизированных рабочих мест (Управление правами доступа)</t>
  </si>
  <si>
    <t>Количество учетных записей (Управление правами доступа)</t>
  </si>
  <si>
    <t>Количество программно-технических средств (Управление правами доступа)</t>
  </si>
  <si>
    <t>Количество компонентов инфраструктуры электронного правительства (Управление правами доступа)</t>
  </si>
  <si>
    <t>Количество центров обработки данных (Управление правами доступа)</t>
  </si>
  <si>
    <t>Количество ИС обеспечения типовой деятельности (Управление правами доступа)</t>
  </si>
  <si>
    <t>Количество ИС обеспечения специальной деятельности Управление правами доступа)</t>
  </si>
  <si>
    <t>Количество пользователей (Прикладное сопровождение)</t>
  </si>
  <si>
    <t>Количество учетных записей (Прикладное сопровождение)</t>
  </si>
  <si>
    <t>Количество программно-технических средств (Прикладное сопровождение)</t>
  </si>
  <si>
    <t>Количество показателей функционирования (Прикладное сопровождение)</t>
  </si>
  <si>
    <t>Количество показателей функционирования (Управление правами доступа)</t>
  </si>
  <si>
    <t>Количество государственных услуг, предоставляемых в электронном виде (Прикладное сопровождение)</t>
  </si>
  <si>
    <t>Количество типовых компонентов ИТКИ (Прикладное сопровождение)</t>
  </si>
  <si>
    <t>Количество компонентов инфраструктуры электронного правительства (Прикладное сопровождение)</t>
  </si>
  <si>
    <t>Количество ИС обеспечения специальной деятельности Прикладное сопровождение)</t>
  </si>
  <si>
    <t>Количество ИС обеспечения типовой деятельности (Прикладное сопровождение)</t>
  </si>
  <si>
    <t>Количество пользователей (Клиентское сопровождение. Настройка клиентского программного обеспечения)</t>
  </si>
  <si>
    <t>Количество учетных записей (Клиентское сопровождение. Настройка клиентского программного обеспечения)</t>
  </si>
  <si>
    <t>Количество показателей функционирования (Клиентское сопровождение. Настройка клиентского программного обеспечения)</t>
  </si>
  <si>
    <t>Количество компонентов инфраструктуры электронного правительства (Клиентское сопровождение)</t>
  </si>
  <si>
    <t>Количество центров обработки данных (Клиентское сопровождение)</t>
  </si>
  <si>
    <t>Количество ИС обеспечения типовой деятельности (Клиентское сопровождение)</t>
  </si>
  <si>
    <t>Количество ИС обеспечения специальной деятельности (Клиентское сопровождение. Настройка клиентского программного обеспечения)</t>
  </si>
  <si>
    <t>3966</t>
  </si>
  <si>
    <t>Количество учетных записей (Обеспечение мероприятий по выводу из эксплуатации)</t>
  </si>
  <si>
    <t>Количество ИС обеспечения специальной деятельности (Обеспечение мероприятий по выводу из эксплуатации)</t>
  </si>
  <si>
    <t>Количество ИС обеспечения специальной деятельности (Контроль и мониторинг показателей функционирования)</t>
  </si>
  <si>
    <t>Количество учетных записей (Контроль и мониторинг показателей функционирования)</t>
  </si>
  <si>
    <t>Количество типовых компонентов ИТКИ (Контроль и мониторинг показателей функционирования)</t>
  </si>
  <si>
    <t>Количество показателей функционирования (Контроль и мониторинг показателей функционирования)</t>
  </si>
  <si>
    <t>Количество типовых компонентов ИТКИ (Клиентское сопровождение. Настройка клиентского программного обеспечения)</t>
  </si>
  <si>
    <t>Количество автоматизированных рабочих мест (Контроль и мониторинг показателей функционирования)</t>
  </si>
  <si>
    <t>Количество пользователей (Контроль и мониторинг показателей функционирования)</t>
  </si>
  <si>
    <t>Количество программно-технических средств (Контроль и мониторинг показателей функционирования)</t>
  </si>
  <si>
    <t>Количество государственных услуг, предоставляемых в электронном виде (Контроль и мониторинг показателей функционирования)</t>
  </si>
  <si>
    <t>Количество компонентов инфраструктуры электронного правительства (Контроль и мониторинг показателей функционирования)</t>
  </si>
  <si>
    <t>Количество центров обработки данных (Контроль и мониторинг показателей функционирования)</t>
  </si>
  <si>
    <t>Количество ИС обеспечения типовой деятельности (Контроль и мониторинг показателей функционирования)</t>
  </si>
  <si>
    <t>Организация мероприятий в сфере молодежной политики, направленных на гражданское и патриотическое воспитание толерантности в молодежной сфере, формирование правовых, культурных и нравственных ценностей среди молодежи</t>
  </si>
  <si>
    <t>Код базовой услуги: 10.050.1</t>
  </si>
  <si>
    <t>Код базовой услуги: 07.059.0</t>
  </si>
  <si>
    <t>Код базовой услуги: 07.049.1</t>
  </si>
  <si>
    <t>Количество проведенных мероприятий (конкурсы, смотры, фестивали)</t>
  </si>
  <si>
    <t>Количество проведенных мероприятий (методические семинары, выставки)</t>
  </si>
  <si>
    <t>Код базовой услуги: 07.036.1</t>
  </si>
  <si>
    <t>Код бюджетной классификации: 017 0801 1510712445 621</t>
  </si>
  <si>
    <t>017 0801 1510712445 621</t>
  </si>
  <si>
    <t>017 0801 8800012445 621</t>
  </si>
  <si>
    <t>Развитие культуры в Забайкальском крае</t>
  </si>
  <si>
    <t>Итого по государственной программе "Развитие культуры в Забайкальском крае"</t>
  </si>
  <si>
    <t>Управление государственной собственностью Забайкальского края</t>
  </si>
  <si>
    <t>Итого по государственной программе "Управление государственной собственностью Забайкальского края"</t>
  </si>
  <si>
    <t>Код базовой услуги: 33.004.1</t>
  </si>
  <si>
    <t>Код базовой услуги: 33.007.1</t>
  </si>
  <si>
    <t>Административное обеспечение деятельности организации-проведение экспертизы Проведение обследования объектов недвижимого имущества в целях определения вида фактического использования зданий (сооружений) и помещений налоговая база</t>
  </si>
  <si>
    <t>Описание границ муниципальных образований</t>
  </si>
  <si>
    <t>Количество проведенных работ по описанию границ</t>
  </si>
  <si>
    <t>Код базовой услуги: 1.7.1</t>
  </si>
  <si>
    <t>Сбор, обработка, систематизация и накопление информации при определении кадастровой стоимости</t>
  </si>
  <si>
    <t>единиц</t>
  </si>
  <si>
    <t>Сохранение, использование, популяризация и государственная охрана объектов культурного наследия</t>
  </si>
  <si>
    <t>Итого по государственной программе "Сохранение, использование, популяризация и государственная охрана объектов культурного наследия"</t>
  </si>
  <si>
    <t xml:space="preserve">Развитие культуры в Забайкальском крае </t>
  </si>
  <si>
    <t>Код бюджетной классификации:  073 0801 3120219440 611</t>
  </si>
  <si>
    <t>ИТОГО субсидий на оказание государственных услуг
(выполнение работ) по Забайкальскому краю</t>
  </si>
  <si>
    <t xml:space="preserve">Управление государственными финансами и государственным долгом </t>
  </si>
  <si>
    <t>Итого по Министерству культуры Забайкальского края</t>
  </si>
  <si>
    <t>Коды бюджетной классификации: 003 0901 1620713470 611</t>
  </si>
  <si>
    <t>Штука</t>
  </si>
  <si>
    <t>Количество экземпляров изданий (журналы, печатная)</t>
  </si>
  <si>
    <t>Код базовой услуги: 12.614.1</t>
  </si>
  <si>
    <t>Развитие образования Забайкальского края</t>
  </si>
  <si>
    <t>Итого по государственной программе "Развитие образования Забайкальского края"</t>
  </si>
  <si>
    <t>Количество комплектов документов</t>
  </si>
  <si>
    <t>131</t>
  </si>
  <si>
    <t>15.1</t>
  </si>
  <si>
    <t>15.2</t>
  </si>
  <si>
    <t>Количество отчетов, подлежащих своду</t>
  </si>
  <si>
    <t>Количество пользователей отчетов</t>
  </si>
  <si>
    <t>Единица</t>
  </si>
  <si>
    <t>11</t>
  </si>
  <si>
    <t>Ведение бухгалтерского (бюджетного) учета государственных учреждений, органов государственной власти, государственных органов Забайкальского края</t>
  </si>
  <si>
    <t>Количество объектов учета</t>
  </si>
  <si>
    <t>Формирование бухгалтерской (бюджетной) отчетности государственных учреждений, органов государственной власти, государственных органов Забайкальского края</t>
  </si>
  <si>
    <t>Количество отчетов подлежащих своду</t>
  </si>
  <si>
    <t>Содержание (эксплуатация) имущества, находящегося в государственной (муниципальной) собственности</t>
  </si>
  <si>
    <t>Количество единиц имущества</t>
  </si>
  <si>
    <t>Код услуги (работы) по региональному перечню: 12.14</t>
  </si>
  <si>
    <t>Код услуги (работы) по региональному перечню: : 12.1</t>
  </si>
  <si>
    <t>Код услуги (работы) по региональному перечню:  12.12</t>
  </si>
  <si>
    <t>Код бюджетной классификации: 
002 0113 1150119901 611</t>
  </si>
  <si>
    <t>Код бюджетной классификации: 
002 0113 0150119901 611</t>
  </si>
  <si>
    <t>1.6</t>
  </si>
  <si>
    <t>1.7</t>
  </si>
  <si>
    <t>Показ концертов и концертных программ</t>
  </si>
  <si>
    <t xml:space="preserve">Код базовой услуги: </t>
  </si>
  <si>
    <t>Количество мероприятий (стационар)</t>
  </si>
  <si>
    <t>Код бюджетной классификации: 
017 0801 1510312443 621</t>
  </si>
  <si>
    <t>Количество мероприятий (на выезде)</t>
  </si>
  <si>
    <t xml:space="preserve">Показ спектаклей </t>
  </si>
  <si>
    <t>Код бюджетной классификации: 017 0801 1510312443 621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</si>
  <si>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</si>
  <si>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</si>
  <si>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</si>
  <si>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</si>
  <si>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</si>
  <si>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</si>
  <si>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</si>
  <si>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</si>
  <si>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</si>
  <si>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</si>
  <si>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</si>
  <si>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</si>
  <si>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</si>
  <si>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</si>
  <si>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</si>
  <si>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</si>
  <si>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</si>
  <si>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</si>
  <si>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Представление в федеральных орган исполнительной власти, осуществляющий государственный кадастровый учет и государственную регистрацию прав, информации о данных рынка недвижимости</t>
  </si>
  <si>
    <t>Код базовой услуги: 16.026.0</t>
  </si>
  <si>
    <t>Ежеквартальное представление в федеральный орган исполнительной власти, осуществляющий государственный кадастровый учет и государственную регистрацию прав, информации о данных рынка</t>
  </si>
  <si>
    <t>Предоставление сведений о кадастровой стоимости объектов недвижимости</t>
  </si>
  <si>
    <t>Предоставление сведений о кадастровой стоимости, в том числе о ее определении, в порядке, предусмотренном законодательством Российской Федерации</t>
  </si>
  <si>
    <t>Код базовой услуги: 16.029.0</t>
  </si>
  <si>
    <t>16020100200000002006100</t>
  </si>
  <si>
    <t>Сбор, обработка, систематизация и накопление информации, необходимой для определения кадастровой стомости, в том числе о данных рынка недвижимости, а также информации, использованной при</t>
  </si>
  <si>
    <t>9.19</t>
  </si>
  <si>
    <t>9.20</t>
  </si>
  <si>
    <t>9.21</t>
  </si>
  <si>
    <t>9.22</t>
  </si>
  <si>
    <t>9.23</t>
  </si>
  <si>
    <t>9.24</t>
  </si>
  <si>
    <t>9.25</t>
  </si>
  <si>
    <t>9.26</t>
  </si>
  <si>
    <t>единиц в год</t>
  </si>
  <si>
    <t>Количество полос формата А2</t>
  </si>
  <si>
    <t>Коды бюджетной классификации: 
004 0801 1510212442 611</t>
  </si>
  <si>
    <t>004 0801 1510212444 611</t>
  </si>
  <si>
    <t>Коды бюджетной классификации: 
004 0801 1520112440 611</t>
  </si>
  <si>
    <t>004 0801 1520212444 611</t>
  </si>
  <si>
    <t>004 0801 0510112441 611</t>
  </si>
  <si>
    <t>004 0801 1510112441 611</t>
  </si>
  <si>
    <t>004 0801 1510212442 611</t>
  </si>
  <si>
    <t>3.24</t>
  </si>
  <si>
    <t>тыс. кв. метров</t>
  </si>
  <si>
    <t>Площадь</t>
  </si>
  <si>
    <t>Коды бюджетной классификации: 004 0801 1520212444 611</t>
  </si>
  <si>
    <t>Код базовой услуги: 28.058.0</t>
  </si>
  <si>
    <t>Код базовой услуги: 47.001.0</t>
  </si>
  <si>
    <t>Код базовой услуги: 47.002.0</t>
  </si>
  <si>
    <t>Код базовой услуги: 90.04.10</t>
  </si>
  <si>
    <t>Код базовой услуги: 47.018.0</t>
  </si>
  <si>
    <t>Код базовой услуги: 47.003.0</t>
  </si>
  <si>
    <t>Код базовой услуги: 58.19</t>
  </si>
  <si>
    <t>Код базовой услуги: 14.016.0</t>
  </si>
  <si>
    <t>Коды бюджетной классификации: 
009 1002 1730112509 611</t>
  </si>
  <si>
    <t>009 1004 1730112509 611</t>
  </si>
  <si>
    <t>009 1004 1730112509 621</t>
  </si>
  <si>
    <t>009 1002 1730112508 611</t>
  </si>
  <si>
    <t>Количество подлежащих составлению отчетов</t>
  </si>
  <si>
    <t>чел.час</t>
  </si>
  <si>
    <t>Код базовой услуги: 43.Г48.0</t>
  </si>
  <si>
    <t>Код базовой услуги (работы) по региональному перечню: 8.15</t>
  </si>
  <si>
    <t>Код базовой услуги (работы) по региональному перечню: 9.4</t>
  </si>
  <si>
    <t>документ</t>
  </si>
  <si>
    <t>Код базовой услуги (работы) по региональному перечню: 9.2</t>
  </si>
  <si>
    <t>Код базовой услуги (работы) по региональному перечню: 9.1</t>
  </si>
  <si>
    <t>Код базовой услуги (работы) по региональному перечню: 9.3</t>
  </si>
  <si>
    <t xml:space="preserve">Защита населения и территорий от чрезвычайных ситуаций, обеспечение пожарной безопасности и безопасности людей на водных объектах Забайкальского края </t>
  </si>
  <si>
    <t>Итого по государственной программе "Защита населения и территорий от чрезвычайных ситуаций, обеспечение пожарной безопасности и безопасности людей на водных объектах Забайкальского края"</t>
  </si>
  <si>
    <t>7.7</t>
  </si>
  <si>
    <t>Код базовой услуги (работы) по региональному перечню: 8.3</t>
  </si>
  <si>
    <t>Код бюджетной классификации: 012 0310 0230119303 611</t>
  </si>
  <si>
    <t>Количество автоматизированных рабочих мест</t>
  </si>
  <si>
    <t>Сбор, анализ и обмен информацией о прогнозируемых и возникших чрезвычайных ситуациях, по своевременному оповещению и информированию населения об угрозе возникновения или о возникновении чрезвычайных ситуаций и принимаемых мерах по обеспечению безопасности населения</t>
  </si>
  <si>
    <t>Защита населения и территорий от чрезвычайных ситуаций природного и техногенного характера (за исключением обеспечения безопасности на водных объектах)</t>
  </si>
  <si>
    <t>Оперативные сводки и донесения</t>
  </si>
  <si>
    <t>Количество машино-выездов</t>
  </si>
  <si>
    <t>Количество поисковых и аварийно-спасательных работ</t>
  </si>
  <si>
    <t>Коды бюджетной классификации: 
009 1004 1730112509 611</t>
  </si>
  <si>
    <t>Код бюджетной классификации: 
009 1004 1730112509 611</t>
  </si>
  <si>
    <t>Итого по государственной программе "Социальная поддержка граждан"</t>
  </si>
  <si>
    <t>Реестровый номер услуги (работы): 852101О.99.0.ББ28ХЩ64000</t>
  </si>
  <si>
    <t>Численность обучающихся (271 54.02.01 Дизайн (по отраслям))</t>
  </si>
  <si>
    <t>Реестровый номер услуги (работы): 852101О.99.0.ББ28ИФ36000</t>
  </si>
  <si>
    <t>чел.</t>
  </si>
  <si>
    <t>Численность обучающихся (113 21.02.06 Информационные системы обеспечения градостроительной деятельности)</t>
  </si>
  <si>
    <t>Реестровый номер услуги (работы): 852101О.99.0.ББ28ИФ76000</t>
  </si>
  <si>
    <t>Реестровый номер услуги (работы): 852101О.99.0.ББ28ПЮ72000</t>
  </si>
  <si>
    <t>Численность обучающихся (194 35.02.07 Механизация сельского хозяйства)</t>
  </si>
  <si>
    <t>Реестровый номер услуги (работы): 852101О.99.0.ББ28РФ92000</t>
  </si>
  <si>
    <t>Реестровый номер услуги (работы): 852101О.99.0.ББ28РХ32000</t>
  </si>
  <si>
    <t>Численность обучающихся (204 36.02.01 Ветеринария)</t>
  </si>
  <si>
    <t>Численность обучающихся (064 13.01.10 Электромонтер по ремонту и обслуживанию электрооборудования)</t>
  </si>
  <si>
    <t>Реестровый номер услуги (работы): 852101О.99.0.ББ29ГЗ68000</t>
  </si>
  <si>
    <t xml:space="preserve">Реестровый номер услуги (работы): 852101О.99.0.ББ29ЕВ08000  </t>
  </si>
  <si>
    <t>Численность обучающихся (099 15.01.30 Слесарь)</t>
  </si>
  <si>
    <t>Численность обучающихся (190 23.01.09 Машинист локомотива)</t>
  </si>
  <si>
    <t>Реестровый номер услуги (работы): 852101О.99.0.ББ29КЦ12000</t>
  </si>
  <si>
    <t>Реестровый номер услуги (работы):  852101О.99.0.ББ29КЧ56000</t>
  </si>
  <si>
    <t>Численность обучающихся (191 23.01.10 Слесарь по обслуживанию и ремонту подвижного состава)</t>
  </si>
  <si>
    <t>Реестровый номер услуги (работы): 852101О.99.0.ББ29КЮ88000</t>
  </si>
  <si>
    <t>Численность обучающихся (194 23.01.13 Электромонтер тяговой подстанции)</t>
  </si>
  <si>
    <t>Реестровый номер услуги (работы):  852101О.99.0.ББ29ЛА32000</t>
  </si>
  <si>
    <t>Численность обучающихся (195 23.01.14 Электромонтер устройств сигнализации, централизации, блокировки (СЦБ))</t>
  </si>
  <si>
    <t xml:space="preserve">Реестровый номер услуги (работы): 852101О.99.0.ББ29ПН16000 </t>
  </si>
  <si>
    <t>Численность обучающихся (281 38.01.02 Продавец, контролер-кассир)</t>
  </si>
  <si>
    <t>Реестровый номер услуги (работы): 852101О.99.0.ББ29ГЧ08000</t>
  </si>
  <si>
    <t>Численность обучающихся (074 15.01.05 Сварщик (ручной и частично механизированной сварки (наплавки) )</t>
  </si>
  <si>
    <t>Реестровый номер услуги (работы): 852101О.99.0.ББ29ББ76000</t>
  </si>
  <si>
    <t>Численность обучающихся (021 08.01.18 Электромонтажник электрических сетей и электрооборудования)</t>
  </si>
  <si>
    <t xml:space="preserve">Реестровый номер услуги (работы): 852101О.99.0.ББ29БЯ68000  </t>
  </si>
  <si>
    <t>Численность обучающихся (039 11.01.08 Оператор связи)</t>
  </si>
  <si>
    <t>Реестровый номер услуги (работы): 
852101О.99.0.ББ29МП08000</t>
  </si>
  <si>
    <t>Численность обучающихся (224 29.01.07 Портной)</t>
  </si>
  <si>
    <t>Реестровый номер услуги (работы): 
852101О.99.0.ББ29ОП24000</t>
  </si>
  <si>
    <t>Численность обучающихся (263 35.01.13 Тракторист-машинист сельскохозяйственного производства)</t>
  </si>
  <si>
    <t>Реестровый номер услуги (работы): 
852101О.99.0.ББ29АР36000</t>
  </si>
  <si>
    <t>Численность обучающихся (011 08.01.08 Мастер отделочных строительных работ)</t>
  </si>
  <si>
    <t>Реестровый номер услуги (работы): 
852101О.99.0.ББ29КН48000</t>
  </si>
  <si>
    <t>Численность обучающихся (184 23.01.03 Автомеханик)</t>
  </si>
  <si>
    <t>Реестровый номер услуги (работы): 
852101О.99.0.ББ29ИЯ52000</t>
  </si>
  <si>
    <t>Численность обучающихся (175 22.01.05 Аппаратчик-оператор в производстве цветных металлов)</t>
  </si>
  <si>
    <t>Реестровый номер услуги (работы): 
852101О.99.0.ББ29ИЯ68000</t>
  </si>
  <si>
    <t>Реестровый номер работы (услуги):
852101О.99.0.ББ29ТГ04002</t>
  </si>
  <si>
    <t>Численность обучающихся (333 23.01.17 Мастер по ремонту и обслуживанию автомобилей )</t>
  </si>
  <si>
    <t>Реестровый номер услуги (работы): 
852101О.99.0.ББ29ОР68000</t>
  </si>
  <si>
    <t>Численность обучающихся (264 35.01.14 Мастер по техническому обслуживанию и ремонту машинно-тракторного парка)</t>
  </si>
  <si>
    <t>Реестровый номер работы (услуги):
852101О.99.0.ББ28ЗТ12000</t>
  </si>
  <si>
    <t>Численность обучающихся (099 19.02.08 Технология мяса и мясных продуктов)</t>
  </si>
  <si>
    <t>Реестровый номер работы (услуги):
852101О.99.0.ББ28ЛТ36000</t>
  </si>
  <si>
    <t>Численность обучающихся (138 23.02.04 Техническая эксплуатация подъемно-транспортных, строительных, дорожных машин и оборудования (по отраслям))</t>
  </si>
  <si>
    <t>Реестровый номер работы (услуги):
852101О.99.0.ББ28ЛР20000</t>
  </si>
  <si>
    <t>Численность обучающихся (137 23.02.03 Техническое обслуживание и ремонт автомобильного транспорта)</t>
  </si>
  <si>
    <t>Реестровый номер работы (услуги):
852101О.99.0.ББ28ЕЛ48000</t>
  </si>
  <si>
    <t>Численность обучающихся (070 15.02.01 Монтаж и техническая эксплуатация промышленного оборудования)</t>
  </si>
  <si>
    <t>Реестровый номер услуги (работы): 
852101О.99.0.ББ29КС80000</t>
  </si>
  <si>
    <t>Численность обучающихся (187 23.01.06 Машинист дорожных и строительных машин)</t>
  </si>
  <si>
    <t>Реестровый номер услуги (работы): 
852101О.99.0.ББ29ЗР20000</t>
  </si>
  <si>
    <t>Численность обучающихся (147 19.01.14 Оператор процессов колбасного производства)</t>
  </si>
  <si>
    <t>Реестровый номер услуги (работы): 
852101О.99.0.ББ29ПО60000</t>
  </si>
  <si>
    <t>Численность обучающихся (282 38.01.03 Контролер банка)</t>
  </si>
  <si>
    <t>Реестровый номер услуги (работы): 
852101О.99.0.ББ29ПЧ40000</t>
  </si>
  <si>
    <t>Численность обучающихся (288 43.01.01.Официант, бармен)</t>
  </si>
  <si>
    <t>Реестровый номер работы (услуги):
852101О.99.0.ББ28РЩ24000</t>
  </si>
  <si>
    <t>Численность обучающихся (206 38.02.01 Экономика и бухгалтерский учет)</t>
  </si>
  <si>
    <t>Реестровый номер работы (услуги): 852101О.99.0.ББ28РЮ80000</t>
  </si>
  <si>
    <t>Численность обучающихся (207 38.02.01 Экономика и бухгалтерский учет (по отраслям))</t>
  </si>
  <si>
    <t>Реестровый номер работы (услуги): 852101О.99.0.ББ28БУ80000</t>
  </si>
  <si>
    <t>Численность обучающихся (022 09.02.03 Программирование в компьютерных системах)</t>
  </si>
  <si>
    <t>Реестровый номер работы (услуги): 852101О.99.0.ББ28БП48000</t>
  </si>
  <si>
    <t>Численность обучающихся (020 09.02.01 Компьютерные системы и комплексы)</t>
  </si>
  <si>
    <t xml:space="preserve">Реестровый номер работы (услуги): 852101О.99.0.ББ28ЦЩ72002 </t>
  </si>
  <si>
    <t>Численность обучающихся (284 09.02.06 Сетевое и системное администрирование )</t>
  </si>
  <si>
    <t>Реестровый номер работы (услуги): 852101О.99.0.ББ28КЖ48000</t>
  </si>
  <si>
    <t>Численность обучающихся (120 21.02.13 Геологическая съемка, поиски и разведка месторождений полезных ископаемых)</t>
  </si>
  <si>
    <t>Реестровый номер работы (услуги): 852101О.99.0.ББ28ДЭ52000</t>
  </si>
  <si>
    <t>Численность обучающихся (064 13.02.11 Техническая эксплуатация и обслуживание электрического и электромеханического оборудования (в горной отрасли) )</t>
  </si>
  <si>
    <t>Реестровый номер работы (услуги): 852101О.99.0.ББ28КЛ80000</t>
  </si>
  <si>
    <t>Численность обучающихся (122 21.02.15 Открытые горные работы)</t>
  </si>
  <si>
    <t>Реестровый номер работы (услуги): 852101О.99.0.ББ28КМ04000</t>
  </si>
  <si>
    <t>Реестровый номер работы (услуги): 852101О.99.0.ББ28КМ20000</t>
  </si>
  <si>
    <t>Численность обучающихся (124 21.02.17 Подземная разработка месторождений полезных ископаемых)</t>
  </si>
  <si>
    <t>Реестровый номер работы (услуги): 852101О.99.0.ББ28КР52000</t>
  </si>
  <si>
    <t>Реестровый номер работы (услуги): 852101О.99.0.ББ28КТ28000</t>
  </si>
  <si>
    <t>Численность обучающихся (125 21.02.18 Обогащение полезных ископаемых)</t>
  </si>
  <si>
    <t>Реестровый номер работы (услуги): 852101О.99.0.ББ28КТ52000</t>
  </si>
  <si>
    <t>Реестровый номер работы (услуги): 852101О.99.0.ББ28КИ88000</t>
  </si>
  <si>
    <t>Реестровый номер работы (услуги): 852101О.99.0.ББ28КК04000</t>
  </si>
  <si>
    <t>Реестровый номер работы (услуги): 852101О.99.0.ББ28ЗЮ00000</t>
  </si>
  <si>
    <t>Численность обучающихся (103 20.02.01 Рациональное использование природохозяйственных комплексов)</t>
  </si>
  <si>
    <t>Реестровый номер работы (услуги): 852101О.99.0.ББ28УУ40000</t>
  </si>
  <si>
    <t>Численность обучающихся (242 44.02.06. Профессиональное обучение)</t>
  </si>
  <si>
    <t>Реестровый номер работы (услуги): 852101О.99.0.ББ28УУ00000</t>
  </si>
  <si>
    <t>Реестровый номер работы (услуги): 852101О.99.0.ББ28ЗЦ44000</t>
  </si>
  <si>
    <t>Численность обучающихся (101 19.02.10 Технология продукции общественного питания)</t>
  </si>
  <si>
    <t>Реестровый номер работы (услуги): 852101О.99.0.ББ28ЗЦ84000</t>
  </si>
  <si>
    <t>Реестровый номер услуги (работы): 852101О.99.0.ББ28РА48000</t>
  </si>
  <si>
    <t>Численность обучающихся (195 35.02.08 Электрификация и автоматизация сельского хозяйства)</t>
  </si>
  <si>
    <t>Реестровый номер услуги (работы): 852101О.99.0.ББ28РА88000</t>
  </si>
  <si>
    <t>Код базовой услуги: 11.732.0</t>
  </si>
  <si>
    <t>Реестровый номер услуги (работы): 852101О.99.0.ББ28ЗЖ32000</t>
  </si>
  <si>
    <t>Численность обучающихся (094 19.02.03 Технология хлеба,кондитерских и макаронных изделий)</t>
  </si>
  <si>
    <t>Реестровый номер услуги (работы): 852101О.99.0.ББ28ЗП96000</t>
  </si>
  <si>
    <t>Численность обучающихся (098 19.02.07 Технология молока и молочных продуктов)</t>
  </si>
  <si>
    <t>Реестровый номер услуги (работы): 852101О.99.0.ББ28ЗР60000</t>
  </si>
  <si>
    <t>Реестровый номер услуги (работы): 852101О.99.0.ББ28ЛЛ88000</t>
  </si>
  <si>
    <t>Численность обучающихся (135 23.02.01 Организация перевозок и управление на транспорте)</t>
  </si>
  <si>
    <t>Реестровый номер услуги (работы): 852101О.99.0.ББ28РР60000</t>
  </si>
  <si>
    <t>Реестровый номер услуги (работы): 852101О.99.0.ББ28РС00000</t>
  </si>
  <si>
    <t>Численность обучающихся (202 35.02.15 Кинология)</t>
  </si>
  <si>
    <t>Реестровый номер услуги (работы): 852101О.99.0.ББ28ПЧ00000</t>
  </si>
  <si>
    <t>Реестровый номер услуги (работы): 852101О.99.0.ББ28ПЧ40000</t>
  </si>
  <si>
    <t>Численность обучающихся (192 35.02.01 Агрономия)</t>
  </si>
  <si>
    <t>Реестровый номер услуги (работы): 852101О.99.0.ББ28РЧ48000</t>
  </si>
  <si>
    <t>Численность обучающихся (205 36.02.02 Зоотехния)</t>
  </si>
  <si>
    <t>Реестровый номер услуги (работы): 
852101О.99.0.ББ29ПД96000</t>
  </si>
  <si>
    <t>Численность обучающихся (276 36.01.01 Младший ветеринарный фельдшер)</t>
  </si>
  <si>
    <t>Реестровый номер услуги (работы): 
852101О.99.0.ББ29НЩ96000</t>
  </si>
  <si>
    <t>Численность обучающихся (251 35.01.01 Мастер по лесному хозяйству)</t>
  </si>
  <si>
    <t>Реестровый номер работы (услуги):
852101О.99.0.ББ29ОТ12000</t>
  </si>
  <si>
    <t>Численность обучающихся (265 35.01.15 Электромонтер по ремонту и обслуживанию электрооборудования в сельскохозяйственном производстве)</t>
  </si>
  <si>
    <t>Реестровый номер услуги (работы): 
852101О.99.0.ББ29АМ04000</t>
  </si>
  <si>
    <t>Численность обучающихся (008 08.01.05 Мастер столярно-плотничных и паркетных работ)</t>
  </si>
  <si>
    <t>Реестровый номер услуги (работы): 
852101О.99.0.ББ29КФ68000</t>
  </si>
  <si>
    <t>Численность обучающихся (189 23.01.08 Слесарь по ремонту строительных машин)</t>
  </si>
  <si>
    <t>Реестровый номер услуги (работы): 852101О.99.0.ББ28УЗ20000</t>
  </si>
  <si>
    <t>Численность обучающихся (237 44.02.01 Дошкольное образование )</t>
  </si>
  <si>
    <t>Реестровый номер услуги (работы): 852101О.99.0.ББ28УЗ60000</t>
  </si>
  <si>
    <t>Реестровый номер услуги (работы): 852101О.99.0.ББ28УЗ62000</t>
  </si>
  <si>
    <t>Реестровый номер услуги (работы): 852101О.99.0.ББ28УК36000</t>
  </si>
  <si>
    <t>Численность обучающихся (238 44.02.02 Преподавание в начальных классах)</t>
  </si>
  <si>
    <t>Реестровый номер услуги (работы): 852101О.99.0.ББ28УК60000</t>
  </si>
  <si>
    <t>Реестровый номер услуги (работы): 852101О.99.0.ББ28УК04000</t>
  </si>
  <si>
    <t>Реестровый номер работы (услуги): 852101О.99.0.ББ28УЮ64000</t>
  </si>
  <si>
    <t>Численность обучающихся (246 49.02.01 Физическая культура)</t>
  </si>
  <si>
    <t>Реестровый номер услуги (работы): 852101О.99.0.ББ28ЦЗ44000</t>
  </si>
  <si>
    <t>Численность обучающихся (276 54.02.06 Изобразительное искусство и черчение)</t>
  </si>
  <si>
    <t>84</t>
  </si>
  <si>
    <t>42</t>
  </si>
  <si>
    <t>Реестровый номер услуги (работы): 852101О.99.0.ББ28УМ52000</t>
  </si>
  <si>
    <t>Численность обучающихся (239 44.02.03 Педагогика дополнительного образования)</t>
  </si>
  <si>
    <t>Реестровый номер услуги (работы): 852101О.99.0.ББ28УО68000</t>
  </si>
  <si>
    <t>Численность обучающихся (240 44.02.04 Специальное дошкольное образование)</t>
  </si>
  <si>
    <t>Реестровый номер работы (услуги): 852101О.99.0.ББ28УР84000</t>
  </si>
  <si>
    <t>Численность обучающихся (241 44.02.05 Коррекционная педагогика в начальном образовании)</t>
  </si>
  <si>
    <t>Реестровый номер работы (услуги): 852101О.99.0.ББ28УС24000</t>
  </si>
  <si>
    <t>Реестровый номер работы (услуги): 852101О.99.0.ББ28ХГ04000</t>
  </si>
  <si>
    <t>Численность обучающихся (261 53.02.01 Музыкальное образование)</t>
  </si>
  <si>
    <t>Численность обучающихся (216 39.02.02 Организация сурдокоммуникации)</t>
  </si>
  <si>
    <t>Реестровый номер работы (услуги): 852101О.99.0.ББ28СС08000</t>
  </si>
  <si>
    <t>Численность обучающихся (215 39.02.01 Социальная работа)</t>
  </si>
  <si>
    <t>Реестровый номер работы (услуги): 852101О.99.0.ББ28ДИ24000</t>
  </si>
  <si>
    <t>Численность обучающихся (056 13.02.03 Электрические станции, сети и системы)</t>
  </si>
  <si>
    <t>Реестровый номер работы (услуги): 852101О.99.0.ББ28ШГ28002</t>
  </si>
  <si>
    <t>Численность обучающихся (300 23.02.07 Техническое обслуживание и ремонт двигателей, систем и агрегатов автомобилей)</t>
  </si>
  <si>
    <t>Реестровый номер услуги (работы): 852101О.99.0.ББ28ПО36000</t>
  </si>
  <si>
    <t>Численность обучающихся (188 35.02.01 Лесное и лесопарковое хозяйство)</t>
  </si>
  <si>
    <t>Реестровый номер услуги (работы): 852101О.99.0.ББ28ПТ68000</t>
  </si>
  <si>
    <t>Численность обучающихся (190 35.02.03 Технология деревообработки)</t>
  </si>
  <si>
    <t>Реестровый номер услуги (работы): 852101О.99.0.ББ28РК12000</t>
  </si>
  <si>
    <t>Численность обучающихся (199 35.02.12 Садово-парковое и ландшафтное строительство)</t>
  </si>
  <si>
    <t>Реестровый номер услуги (работы): 852101О.99.0.ББ28ИШ92000</t>
  </si>
  <si>
    <t>Численность обучающихся (115 21.02.08 Прикладная геодезия)</t>
  </si>
  <si>
    <t>Реестровый номер услуги (работы): 852101О.99.0.ББ28СА80000</t>
  </si>
  <si>
    <t>Численность обучающихся (208 38.02.02 Страховое дело)</t>
  </si>
  <si>
    <t>Реестровый номер услуги (работы): 852101О.99.0.ББ28ДЖ48000</t>
  </si>
  <si>
    <t>Численность обучающихся (055 13.02.02 Теплоснабжение и теплотехническое оборудование)</t>
  </si>
  <si>
    <t>Реестровый номер услуги (работы): 852101О.99.0.ББ28ДЖ08000</t>
  </si>
  <si>
    <t>Реестровый номер услуги (работы): 852101О.99.0.ББ28АС56000</t>
  </si>
  <si>
    <t>Численность обучающихся (008 08.02.01 Строительство и эксплуатация зданий и сооружений)</t>
  </si>
  <si>
    <t>Реестровый номер услуги (работы): 852101О.99.0.ББ28АС80000</t>
  </si>
  <si>
    <t>Реестровый номер услуги (работы): 852101О.99.0.ББ28АН24000</t>
  </si>
  <si>
    <t>Численность обучающихся (006 07.02.01 Архитектура)</t>
  </si>
  <si>
    <t>Реестровый номер услуги (работы): 852101О.99.0.ББ28ББ52000</t>
  </si>
  <si>
    <t>Численность обучающихся (014 08.02.07 Монтаж и эксплуатация внутренних сантехнических устройств, кондиционирования воздуха и вентиляции)</t>
  </si>
  <si>
    <t>Реестровый номер услуги (работы): 852101О.99.0.ББ28АЭ20000</t>
  </si>
  <si>
    <t>Численность обучающихся (012 08.02.05 Строительство и эксплуатация автомобильных дорог и аэродромов)</t>
  </si>
  <si>
    <t>Реестровый номер услуги (работы): 852101О.99.0.ББ28БЛ16000</t>
  </si>
  <si>
    <t>Численность обучающихся (018 08.02.11 Управление, эксплуатация и обслуживание многоквартирного дома)</t>
  </si>
  <si>
    <t>Реестровый номер услуги (работы): 852101О.99.0.ББ28ИТ20000</t>
  </si>
  <si>
    <t>Численность обучающихся (112 21.02.05 Земельно-имущественные отношения)</t>
  </si>
  <si>
    <t>Реестровый номер услуги (работы): 852101О.99.0.ББ28ИТ44000</t>
  </si>
  <si>
    <t>Реестровый номер работы (услуги): 852101О.99.0.ББ28ЦЮ88002</t>
  </si>
  <si>
    <t>Численность обучающихся (285 09.02.07 Информационные системы и программирование)</t>
  </si>
  <si>
    <t>Реестровый номер услуги (работы): 
852101О.99.0.ББ29АН48000</t>
  </si>
  <si>
    <t>Численность обучающихся (009 08.01.06 Мастер сухого строительства)</t>
  </si>
  <si>
    <t>Реестровый номер услуги (работы): 
852101О.99.0.ББ29АУ24000</t>
  </si>
  <si>
    <t>Численность обучающихся (013 08.01.10 Мастер жилищно-коммунального хозяйства)</t>
  </si>
  <si>
    <t>Реестровый номер услуги (работы): 
852101О.99.0.ББ29АУ40000</t>
  </si>
  <si>
    <t>Реестровый номер услуги (работы): 
852101О.99.0.ББ29АО92000</t>
  </si>
  <si>
    <t>Численность обучающихся (010 08.01.07 Мастер общестроительных работ)</t>
  </si>
  <si>
    <t>Реестровый номер услуги (работы): 
852101О.99.0.ББ29БШ36000</t>
  </si>
  <si>
    <t>Численность обучающихся (036 11.01.05 Монтажник связи)</t>
  </si>
  <si>
    <t>Численность обучающихся (162 27.02.04 Автоматические системы управления)</t>
  </si>
  <si>
    <t>Реестровый номер услуги (работы): 852101О.99.0.ББ28НО60000</t>
  </si>
  <si>
    <t>Реестровый номер услуги (работы): 852101О.99.0.ББ28ЕШ44000</t>
  </si>
  <si>
    <t>Численность обучающихся (076 15.02.07 Автоматизация технологических процессов и производств)</t>
  </si>
  <si>
    <t>Реестровый номер услуги (работы): 852101О.99.0.ББ28ЕШ84000</t>
  </si>
  <si>
    <t>Реестровый номер работы (услуги):
852101О.99.0.ББ29ДР68000</t>
  </si>
  <si>
    <t>Численность обучающихся (089 15.01.20 Слесарь по контрольно-измерительным приборам и автоматике)</t>
  </si>
  <si>
    <t>Количество человеко-часов (12901 Каменщик)</t>
  </si>
  <si>
    <t>Количество человеко-часов (16675 Повар)</t>
  </si>
  <si>
    <t>Количество человеко-часов (19929 Электрослесарь по ремонту оборудования электростанций)</t>
  </si>
  <si>
    <t>Количество человеко-часов (12901 Кондитер)</t>
  </si>
  <si>
    <t>Количество человеко-часов (19906 Электросварщик ручной сварки)</t>
  </si>
  <si>
    <t>Количество человеко-часов (26527 Социальный работник)</t>
  </si>
  <si>
    <t>Количество человеко-часов (18494 Слесарь по контрольно-измерительным приборам и автоматике)</t>
  </si>
  <si>
    <t>Количество человеко-часов (19601 Швея)</t>
  </si>
  <si>
    <t>Количество человеко-часов (18880 Столяр строительный)</t>
  </si>
  <si>
    <t>Количество человеко-часов (19727 Штукатур)</t>
  </si>
  <si>
    <t>Количество человеко-часов (15220 Облицовщик-плиточник)</t>
  </si>
  <si>
    <t>Количество человеко-часов (16199 Оператор электронно-вычислительных и вычислительных машин)</t>
  </si>
  <si>
    <t>Количество человеко-часов (11442 Водитель автотранспортных средств)</t>
  </si>
  <si>
    <t>Количество человеко-часов (14621 Монтажник санитарно-технических, вентиляционных систем и оборудования)</t>
  </si>
  <si>
    <t>Количество человеко-часов (18511 Слесарь по ремонту автомобиля)</t>
  </si>
  <si>
    <t>Количество человеко-часов (11949 Животновод)</t>
  </si>
  <si>
    <t>Количество человеко-часов (Контролер-кассир)</t>
  </si>
  <si>
    <t>Количество человеко-часов (19203 Тракторист)</t>
  </si>
  <si>
    <t>Количество человеко-часов (16909 Портной)</t>
  </si>
  <si>
    <t>Количество человеко-часов (19149 Токарь)</t>
  </si>
  <si>
    <t>Реестровый номер работы (услуги):
804200О.99.0.ББ65АБ01000</t>
  </si>
  <si>
    <t>Количество человеко-часов (16199 Оператор ЭВМ)</t>
  </si>
  <si>
    <t>Количество человеко-часов (16019 Почтальон)</t>
  </si>
  <si>
    <t>Количество человеко-часов (13450 Маляр)</t>
  </si>
  <si>
    <t>Количество человеко-часов (18511 Слесарь по ремонту автомобилей)</t>
  </si>
  <si>
    <t>Реестровый номер услуги (работы): 852101О.99.0.ББ29ДЩ32000</t>
  </si>
  <si>
    <t>Численность обучающихся (095 15.01.26 Токарь-универсал)</t>
  </si>
  <si>
    <t>Реестровый номер услуги (работы): 852101О.99.0.ББ29РБ45000</t>
  </si>
  <si>
    <t>Численность обучающихся (293 43.01.06 Проводник на железнодорожном транспорте)</t>
  </si>
  <si>
    <t>Реестровый номер услуги (работы):  852101О.99.0.ББ29ЗФ52000</t>
  </si>
  <si>
    <t>Численность обучающихся (150 19.01.17 Повар, кондитер)</t>
  </si>
  <si>
    <t>Реестровый номер услуги (работы):  852101О.99.0.ББ29ЗФ68000</t>
  </si>
  <si>
    <t>Численность обучающихся (057 13.01.03 Электрослесарь по ремонту оборудования электростанций)</t>
  </si>
  <si>
    <t>Численность обучающихся (030 09.01.03 Мастер по обработке цифровой информации)</t>
  </si>
  <si>
    <t>Реестровый номер услуги (работы):  852101О.99.0.ББ29БП88000</t>
  </si>
  <si>
    <t>Реестровый номер работы (услуги):
852101О.99.0.ББ28БЕ84000</t>
  </si>
  <si>
    <t>Численность обучающихся (016 08.02.09 Монтаж, наладка и эксплуатация электрооборудования промышленных и гражданских зданий)</t>
  </si>
  <si>
    <t>Реестровый номер работы (услуги):
852101О.99.0.ББ28БЕ12000</t>
  </si>
  <si>
    <t>Реестровый номер услуги (работы): 
852101О.99.0.ББ29ИЗ36000</t>
  </si>
  <si>
    <t>Численность обучающихся (161 21.01.08 Машинист на открытых горных работах)</t>
  </si>
  <si>
    <t>Реестровый номер работы (услуги):
801012О.99.0.БА81АЭ92001</t>
  </si>
  <si>
    <t>Реестровый номер работы (услуги):
801012О.99.0.БА81АА00001</t>
  </si>
  <si>
    <t>Реестровый номер работы (услуги):
801012О.99.0.БА81АБ57001</t>
  </si>
  <si>
    <t>Реестровый номер работы (услуги):
801012О.99.0.БА81АБ44001</t>
  </si>
  <si>
    <t>Реестровый номер работы (услуги):
801012О.99.0.БА81АЯ36001</t>
  </si>
  <si>
    <t>Реестровый номер работы (услуги):
802111О.99.0.БА96АА00001</t>
  </si>
  <si>
    <t>Реестровый номер работы (услуги):
802111О.99.0.БА96АЮ58001</t>
  </si>
  <si>
    <t>Реестровый номер работы (услуги):
802111О.99.0.БА96АБ63001</t>
  </si>
  <si>
    <t>Реестровый номер работы (услуги):
802112О.99.0.ББ11АГ00000</t>
  </si>
  <si>
    <t>Реестровый номер работы (услуги):
802112О.99.0.ББ11АЮ58001</t>
  </si>
  <si>
    <t>Реестровый номер работы (услуги):
802112О.99.0.ББ11АБ50001</t>
  </si>
  <si>
    <t>Реестровый номер работы (услуги):
802111О.99.0.БА96АЯ62001</t>
  </si>
  <si>
    <t>Реестровый номер работы (услуги):
804200О.99.0.ББ52АЖ48000</t>
  </si>
  <si>
    <t>Реестровый номер работы (услуги):
801012О.99.0.ББ57АЖ24000</t>
  </si>
  <si>
    <t>Реестровый номер работы (услуги):
801012О.99.0.ББ57АИ40000</t>
  </si>
  <si>
    <t>Реестровый номер работы (услуги):
804200О.99.0.ББ52А320000</t>
  </si>
  <si>
    <t>Реестровый номер работы (услуги):
801012О.99.0.ББ57АШ52000</t>
  </si>
  <si>
    <t>Реестровый номер работы (услуги):
804200О.99.0.ББ52АЕ88000</t>
  </si>
  <si>
    <t>Реестровый номер работы (услуги):
801012О.99.0.ББ57 АЖ00000</t>
  </si>
  <si>
    <t>Реестровый номер работы (услуги):
920700О.99.0.АЗ22АА00001</t>
  </si>
  <si>
    <t>Реестровый номер работы (услуги):
560200О.99.0.ББ18АА00000</t>
  </si>
  <si>
    <t>Реестровый номер работы (услуги):
860000О.99.0.АД58АА02002</t>
  </si>
  <si>
    <t xml:space="preserve">Число обращений / число посещений  </t>
  </si>
  <si>
    <t>Реестровый номер работы (услуги):
552315О.99.0.БА83АА12000</t>
  </si>
  <si>
    <t>Реестровый номер работы (услуги):
559019О.99.0.ББ12АА03000</t>
  </si>
  <si>
    <t>Реестровый номер работы (услуги):
853212О.99.0.БВ22АА00001</t>
  </si>
  <si>
    <t>Реестровый номер работы (услуги):
11Г54000000000003005101</t>
  </si>
  <si>
    <t>Реестровый номер работы (услуги):
801012О.99.0.ББ54АБ28000</t>
  </si>
  <si>
    <t>Реестровый номер работы (услуги):
801012О.99.0.ББ54АБ36000</t>
  </si>
  <si>
    <t>Реестровый номер работы (услуги):
801012О.99.0.ББ54АБ44000</t>
  </si>
  <si>
    <t>Реализация основных общеобразовательных программ дошкольного образования</t>
  </si>
  <si>
    <t>Код базовой услуги: 11.Д45.0</t>
  </si>
  <si>
    <t>Реестровый номер работы (услуги):
801011О.99.0.БВ24АВ42000</t>
  </si>
  <si>
    <t>Реестровый номер работы (услуги):
801011О.99.0.БВ24АК60000</t>
  </si>
  <si>
    <t>Реализация адаптированных основных общеобразовательных программ для детей с умственной отсталостью</t>
  </si>
  <si>
    <t>Код базовой услуги: 11.Д39.0</t>
  </si>
  <si>
    <t>Реестровый номер работы (услуги):
801012О.99.0.БА90АА00000</t>
  </si>
  <si>
    <t>Реестровый номер работы (услуги):
801012О.99.0.БА99БА90АА24000</t>
  </si>
  <si>
    <t>Код базовой услуги: 11.788.0</t>
  </si>
  <si>
    <t>Реестровый номер работы (услуги):
801012О.99.0.БА82АЛ78001</t>
  </si>
  <si>
    <t>Реестровый номер работы (услуги):
801012О.99.0.БА82АН32001</t>
  </si>
  <si>
    <t>Содержание лиц из числа детей-сирот и детей, оставшихся без попечения родителей, завершивших пребывание в организации для детей-сирот, но не старше 23 лет</t>
  </si>
  <si>
    <t>Реестровый номер работы (услуги):
853100О.99.0.БА64АА00000</t>
  </si>
  <si>
    <t>Реестровый номер работы (услуги):
851200О.99.0.ББ04АВ16000</t>
  </si>
  <si>
    <t>Реестровый номер работы (услуги):
802111О.99.0.БА96АА04001</t>
  </si>
  <si>
    <t>Методическое обеспечение образовательной деятельности</t>
  </si>
  <si>
    <t>Реестровый номер работы (услуги):
800000Ф.99.1.БВ01АА00001</t>
  </si>
  <si>
    <t>Реестровый номер работы (услуги):
853212О.99.0.БВ20АА02001</t>
  </si>
  <si>
    <t>Число обучающихся (дошкольное образование)</t>
  </si>
  <si>
    <t xml:space="preserve">Реестровый номер работы (услуги):
880900О.99.0.БА84АА02000 </t>
  </si>
  <si>
    <t>Число обучающихся (начальное общее образование)</t>
  </si>
  <si>
    <t>Реестровый номер работы (услуги):
880900О.99.0.БА98АА02000</t>
  </si>
  <si>
    <t>Число обучающихся (основное общее образование)</t>
  </si>
  <si>
    <t>Реестровый номер работы (услуги):
880900О.99.0.ББ13АА02000</t>
  </si>
  <si>
    <t xml:space="preserve">Реестровый номер работы (услуги):
853212О.99.0.БВ21АА02003 </t>
  </si>
  <si>
    <t xml:space="preserve">Реестровый номер работы (услуги):
880900О.99.0.БА85АА02000 </t>
  </si>
  <si>
    <t xml:space="preserve">Реестровый номер работы (услуги):
880900О.99.0.БА99АА02000 </t>
  </si>
  <si>
    <t xml:space="preserve">Реестровый номер работы (услуги):
880900О.99.0.ББ14АА02000 </t>
  </si>
  <si>
    <t xml:space="preserve">Реестровый номер работы (услуги):
560200О.99.0.БА89АА00000 </t>
  </si>
  <si>
    <t>Число обучающихся (среднее общее образование)</t>
  </si>
  <si>
    <t>Присмотр и уход</t>
  </si>
  <si>
    <t>Число детей (дошкольное образование)</t>
  </si>
  <si>
    <t xml:space="preserve">Реестровый номер работы (услуги):
853212О.99.0.БВ23АГ17000 </t>
  </si>
  <si>
    <t>Реестровый номер работы (услуги):
860000О.99.0.АД57АА31002</t>
  </si>
  <si>
    <t xml:space="preserve">Коды бюджетной классификации: 
026 0703 1430111423 611 </t>
  </si>
  <si>
    <t>Реестровый номер работы (услуги):
751100Ф.99.1.А330АА00001</t>
  </si>
  <si>
    <t>Организация  и проведение общественно-значимых мероприятий в сфере образования, науки и молодежной политики</t>
  </si>
  <si>
    <t>Организация мероприятий, направленных на профилактику асоциального и деструктивного поведения подростков и молодежи, поддержка детей и молодежи, находящейся в социально-опасном положении</t>
  </si>
  <si>
    <t>Реестровый номер работы (услуги):
804200О.99.0.ББ60АБ20001</t>
  </si>
  <si>
    <t>Реестровый номер работы (услуги):
604200О.99.0.ББ60АБ21001</t>
  </si>
  <si>
    <t>Оценка качества образования</t>
  </si>
  <si>
    <t>Код базовой услуги: 11.Д71.1</t>
  </si>
  <si>
    <t>Количество проведенных экспертиз</t>
  </si>
  <si>
    <t>Код базовой услуги: 11.Д67.1</t>
  </si>
  <si>
    <t xml:space="preserve">Осуществление издательской деятельности </t>
  </si>
  <si>
    <t>Количество экземпляров (журналы)</t>
  </si>
  <si>
    <t>Код базовой услуги: 09.075.1</t>
  </si>
  <si>
    <t>Код базовой услуги: 09.071.1</t>
  </si>
  <si>
    <t>Количество экземпляров (иные периодические издания)</t>
  </si>
  <si>
    <t>Реестровый номер работы (услуги):
804200О.99.0.ББ60АБ24001</t>
  </si>
  <si>
    <t>026 0707 1420111435 621</t>
  </si>
  <si>
    <t>Организация конгрессов, конференций, семинаров, выставок и иных мероприятий в сфере молодежной политики, направленных на гражданское и патриотическое воспитание молодежи, воспитание толерантности в молодежной среде, формирование правовых, культурных и нравственных ценностей среди молодежи</t>
  </si>
  <si>
    <t>Объем средств на финансовое обеспечение оказания государственных услуг (выполнения работ</t>
  </si>
  <si>
    <t>39</t>
  </si>
  <si>
    <t>731</t>
  </si>
  <si>
    <t>Информационно-технологическое обеспечение управления системой образования</t>
  </si>
  <si>
    <t>Код услуги (работы) по региональному перечню: 12.2.</t>
  </si>
  <si>
    <t>Код услуги (работы) по региональному перечню: 12.3</t>
  </si>
  <si>
    <t>Код услуги (работы) по региональному перечню: 12.4</t>
  </si>
  <si>
    <t>Код услуги (работы) по региональному перечню: 12.5</t>
  </si>
  <si>
    <t>Код услуги (работы) по региональному перечню: 12.6</t>
  </si>
  <si>
    <t>Код услуги (работы) по региональному перечню: 12.7</t>
  </si>
  <si>
    <t>Количество отчетов (бумажные носители информации, автономные учреждения)</t>
  </si>
  <si>
    <t>Количество отчетов (электронные носители информации, автономные учреждения)</t>
  </si>
  <si>
    <t>Количество отчетов (бумажные носители информации, бюджетные учреждения)</t>
  </si>
  <si>
    <t>Количество отчетов (электронные носители информации, бюджетные учреждения)</t>
  </si>
  <si>
    <t>Количество отчетов (бумажные носители информации,физические и юридические лица, индивидуальные предприниматели, органы государственной власти, государственные органы, органы местного самоуправления )</t>
  </si>
  <si>
    <t>Количество отчетов (электронные носители информации, физические и юридические лица, индивидуальные предприниматели, органы государственной власти, государственные органы, органы местного самоуправления )</t>
  </si>
  <si>
    <t xml:space="preserve">Количество отчетов машино-часы работы </t>
  </si>
  <si>
    <t>машино-час</t>
  </si>
  <si>
    <t>334 43.01.09 Повар, кондитер</t>
  </si>
  <si>
    <t>Численность обучающихся (43.01.09 Повар, кондитер)</t>
  </si>
  <si>
    <t>Реестровый номер работы (услуги): 852101О.99.0.ББ29ТД48002</t>
  </si>
  <si>
    <t>Реализация основных общеобразовательных программ для детей с умственной отсталостью</t>
  </si>
  <si>
    <t>Код бюджетной классификации: 
026 0702 1420111433 611</t>
  </si>
  <si>
    <t>Реестровый номер работы (услуги):
802111О.99.0.БА96АЯ83001</t>
  </si>
  <si>
    <t>Реестровый номер работы (услуги):
802111О.99.0.БА96АД20000</t>
  </si>
  <si>
    <t>11.32</t>
  </si>
  <si>
    <t>11.50</t>
  </si>
  <si>
    <t>11.60</t>
  </si>
  <si>
    <t>11.61</t>
  </si>
  <si>
    <t>11.62</t>
  </si>
  <si>
    <t>11.63</t>
  </si>
  <si>
    <t>11.64</t>
  </si>
  <si>
    <t>11.65</t>
  </si>
  <si>
    <t>11.66</t>
  </si>
  <si>
    <t>11.67</t>
  </si>
  <si>
    <t>11.68</t>
  </si>
  <si>
    <t>11.69</t>
  </si>
  <si>
    <t>11.70</t>
  </si>
  <si>
    <t>Код базовой услуги: 12.604.1</t>
  </si>
  <si>
    <t>Количество проб (проведение ветеринарно-санитарной экспертизы сырья и продукции животного происхождения на трихинеллез, стационар)</t>
  </si>
  <si>
    <t>Количество документов (проведение ветеринарно-санитарной экспертизы сырья и продукции животного происхождения на трихинеллез, оформление документации)</t>
  </si>
  <si>
    <t>Количество исследований (проведение ветеринарно-санитарной экспертизы сырья и продукции животного происхождения на трихинеллез, стационар, лабораторные исследования)</t>
  </si>
  <si>
    <t>Количество документов (проведение ветеринарных организационных работ, включая учет и ответственное хранение лекарственных средств и препаратов для ветеринарного применения, стационар)</t>
  </si>
  <si>
    <t>Количество документов (составление актов)</t>
  </si>
  <si>
    <t xml:space="preserve">Количество объектов </t>
  </si>
  <si>
    <t>Количество исследований (проведение плановых лабораторных исследований на особо опасные болезни животных (птиц), болезни общие для человека и животных (птиц), включая отбор проб и их транспортировку, стационар)</t>
  </si>
  <si>
    <t>Количество вакцинаций (проведение плановых диагностических мероприятий на особо опасные болезни животных (птиц) и болезни общие для человека и животных (птиц) - стационар)</t>
  </si>
  <si>
    <t>Количество отчетов (проведение плановых диагностических мероприятий на особо опасные болезни животных (птиц) и болезни общие для человека и животных (птиц) - на выезде)</t>
  </si>
  <si>
    <t>Количество проб (проведение плановых диагностических мероприятий на особо опасные болезни животных (птиц) и болезни общие для человека и животных (птиц) - на выезде, отбор проб)</t>
  </si>
  <si>
    <t>Количество мероприятий (проведение плановых лабораторных исследований на особо опасные болезни животных (птиц), болезни общие для человека и животных (птиц), включая отбор проб и их транспортировку, оформление документации)</t>
  </si>
  <si>
    <t xml:space="preserve">Количество вакцинаций (проведение плановых профилактических вакцинаций животных (птиц) против особо опасных болезней животных и болезней общих для человека и животных (птиц), на выезде) </t>
  </si>
  <si>
    <t>Количество отчетов (проведение плановых диагностических мероприятий на особо опасные болезни животных (птиц) и болезни общие для человека и животных (птиц) - стационар, составлено актов)</t>
  </si>
  <si>
    <t>Количество мероприятий (проведение плановых диагностических мероприятий на особо опасные болезни животных (птиц) и болезни общие для человека и животных (птиц))</t>
  </si>
  <si>
    <t>Количество обработок (проведение ветеринарно-санитарных мероприятий, на выезде, головообработок)</t>
  </si>
  <si>
    <t>Количество дотчетов (проведение ветеринарно-санитарных мероприятий на выезде, оформление документации)</t>
  </si>
  <si>
    <t>Количество отчетов (проведение плановых лабораторных исследований на особо опасные болезни животных (птиц), болезни общие для человека и животных (птиц), включая отбор проб и их транспортировку, стационар, оформление документации)</t>
  </si>
  <si>
    <t>066 0405 05211070405 611</t>
  </si>
  <si>
    <t>Итого по Министерству сельского хозяйства Забайкальского края</t>
  </si>
  <si>
    <t>Итого по государственной программе "Развитие сельского хозяйства и регулирование рынков сельскохозяйственной продукции, сырья и продовольствия"</t>
  </si>
  <si>
    <t>Развитие сельского хозяйства и регулирование рынков сельскохозяйственной продукции, сырья и продовольствия</t>
  </si>
  <si>
    <t xml:space="preserve">Министерство сельского хозяйства Забайкальского края                                                                                                                                                                                </t>
  </si>
  <si>
    <t>Учёт объектов животного мира, включая редких и находящихся под угрозой исчезно-вения, охотничьих ресурсов (гектар)</t>
  </si>
  <si>
    <t xml:space="preserve">Проведение учетных работ объектов животного мира, включая редких и находящихся под угрозой исчезно-вения, охотничьих ресурсов </t>
  </si>
  <si>
    <t xml:space="preserve">Подготовка отчетов по учетным работам </t>
  </si>
  <si>
    <t>Проведение подкормочных мероприятий</t>
  </si>
  <si>
    <t xml:space="preserve">Выкладывание кормов  </t>
  </si>
  <si>
    <t>кубический метр</t>
  </si>
  <si>
    <t xml:space="preserve">Составление актов по соблюдению режима особо охраняемых природных территорий регионального значения </t>
  </si>
  <si>
    <t xml:space="preserve">Организация и проведение мероприятий по экологическому просвещению и пропаганде бережного отношения населения к окружающей природной среде </t>
  </si>
  <si>
    <t xml:space="preserve">Организация объектов регламентированной рекреации </t>
  </si>
  <si>
    <t>Привлечение пльзователей на объекты регламентированной рекреации</t>
  </si>
  <si>
    <t>0</t>
  </si>
  <si>
    <t>Привлечение пользователей экологических троп и маршрутов</t>
  </si>
  <si>
    <t xml:space="preserve">Проведение экскурсий на объектах регламентированной рекреации </t>
  </si>
  <si>
    <t xml:space="preserve">Привлечение посетителей ООПТ </t>
  </si>
  <si>
    <t xml:space="preserve">Проведение мероприятий по охране животного мира и среды его обитания на особо охраняемых природных территориях </t>
  </si>
  <si>
    <t xml:space="preserve">Проведение противопожарной пропаганды и других профилактических мероприятий в целях предотвращения возникновения лесных пожаров </t>
  </si>
  <si>
    <t xml:space="preserve">Подготовка к изданию открыток, плакатов, художественной репродукции, фотографий </t>
  </si>
  <si>
    <t>Ведение реестров по отчетам МСП о движении отходов, ведение регионального кадастра отходов Забайкальского края, ведение регионального классификационного каталога отхода, проведение инвентаризации мест размещения и захоронения отходов производства и потребления, инвентаризация объектов негативного воздействия на окружающую среду, составление отчетов по результатам (шт.)</t>
  </si>
  <si>
    <t>Количество проведенных консультаций по вопросам экономической оценки влияния субъектов хозяйственной и иной деятельности на окружающую среду, информации об изменениях экологического законодательства представителям субъектов хозяйственной и иной деятельности, Проведение практик со студентами ВУЗов и СУЗов, Участие в совместных рейдах и комиссиях по выявлению нарушений природоохранного законодательства субъектами хозяйственной и иной, в комиссиях по уничтожению наркотических средств и их прекурсоров, Участие в экологических десантах</t>
  </si>
  <si>
    <t>Организация и проведение детских тематических экологических игр, организация и проведение школьных экологич-ских лекций, выступление с докладами на семининарах, участие и проведение экологических десантов</t>
  </si>
  <si>
    <t xml:space="preserve">Проведение консультаций по вопросам экономической оценки влияния субъектов хозяйственной и иной деятельности на окружающую среду, информации об изменениях экологического законодательства представителям субъектов хозяйственной и иной деятельности, проведение практик со студентами ВУЗов и СУЗов, участие в совместных рейдах и комиссиях по выявлению нарушений природоохранного законодательства субъектами хозяйственной и иной, осуществление экологической паспортизации территории 
</t>
  </si>
  <si>
    <t xml:space="preserve">Прокладка просек, противопожарных разрывов </t>
  </si>
  <si>
    <t xml:space="preserve">Проведение мониторинга пожарной опасности в лесах в авиационной зоне охраны </t>
  </si>
  <si>
    <t>Код бюджетной классификации:  
046 0407 0910151299 611</t>
  </si>
  <si>
    <t>Содержание дополнительной численности ПДПС</t>
  </si>
  <si>
    <t>Код бюджетной классификации:  
046 0407 0910151299 ___</t>
  </si>
  <si>
    <t xml:space="preserve">Площадь зданий и сооружений, на которую распространяется комплекс взаимосвязанных организационных и технических мероприятий, направленных на обеспечение их сохранности и типовых потребительских качеств </t>
  </si>
  <si>
    <t>кв. метров</t>
  </si>
  <si>
    <t>Очистка лесных насаждений от захламленности (уборка неликвидной древесины)</t>
  </si>
  <si>
    <t xml:space="preserve">Обработка почвы под лесовосстановление и лесоразведение </t>
  </si>
  <si>
    <t xml:space="preserve">Осветление и прочистка </t>
  </si>
  <si>
    <t>Код бюджетной классификации:  
046 0407 0910451299 621</t>
  </si>
  <si>
    <t>Код бюджетной классификации:  
046 0407 0910351299 621</t>
  </si>
  <si>
    <t>килограмм</t>
  </si>
  <si>
    <t>Формирование страховых фондов семян лесных растений</t>
  </si>
  <si>
    <t>Код бюджетной классификации:  
046 0407 0910151299</t>
  </si>
  <si>
    <t xml:space="preserve">Тушение лесных пожаров </t>
  </si>
  <si>
    <t>Код бюджетной классификации:  
046 0407 0930217199 611</t>
  </si>
  <si>
    <t>046 0407 0930217199 621</t>
  </si>
  <si>
    <t>Код бюджетной классификации:  
046 0605 0840217337 611</t>
  </si>
  <si>
    <t>Код бюджетной классификации:  
046 0407 0910251299 621</t>
  </si>
  <si>
    <t>Код бюджетной классификации:  
046 0407 0910517199 621</t>
  </si>
  <si>
    <t xml:space="preserve"> 
011 1103 1820113482 611</t>
  </si>
  <si>
    <t>Код бюджетной классификации:                                                                                                                                                                                                                                           011 0704 1820113427 611</t>
  </si>
  <si>
    <t>X</t>
  </si>
  <si>
    <t>РК</t>
  </si>
  <si>
    <t>Код бюджетной классификации:          046 0407 0910119299 621</t>
  </si>
  <si>
    <t>Код бюджетной классификации:      046 0407 0910119299 611</t>
  </si>
  <si>
    <t>Код бюджетной классификации:     046 0407 0910219299</t>
  </si>
  <si>
    <t>Код бюджетной классификации:    046 0407 0910419299</t>
  </si>
  <si>
    <t>Код бюджетной классификации:     046 0407 0910319299</t>
  </si>
  <si>
    <t>Код бюджетной классификации:  
066 0405 0570317263 611</t>
  </si>
  <si>
    <t>Код бюджетной классификации: 
066 0405 0570317263 611</t>
  </si>
  <si>
    <t>13.21</t>
  </si>
  <si>
    <t>13.22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</si>
</sst>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1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49" fontId="1" fillId="0" borderId="1" xfId="0" applyNumberFormat="1" applyFont="1" applyFill="1" applyBorder="1" applyAlignment="1">
      <alignment vertical="center" wrapText="1"/>
    </xf>
    <xf numFmtId="49" fontId="1" fillId="0" borderId="5" xfId="0" applyNumberFormat="1" applyFont="1" applyFill="1" applyBorder="1" applyAlignment="1">
      <alignment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wrapText="1"/>
    </xf>
    <xf numFmtId="165" fontId="1" fillId="0" borderId="4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7" fillId="0" borderId="0" xfId="0" applyFont="1" applyFill="1"/>
    <xf numFmtId="49" fontId="1" fillId="0" borderId="6" xfId="0" applyNumberFormat="1" applyFont="1" applyFill="1" applyBorder="1" applyAlignment="1">
      <alignment horizontal="left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left" vertical="center" wrapText="1"/>
    </xf>
    <xf numFmtId="165" fontId="0" fillId="0" borderId="0" xfId="0" applyNumberFormat="1" applyFill="1"/>
    <xf numFmtId="164" fontId="1" fillId="0" borderId="1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left" vertical="center" wrapText="1"/>
    </xf>
    <xf numFmtId="49" fontId="1" fillId="0" borderId="6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left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</cellXfs>
  <cellStyles count="1">
    <cellStyle name="Обычны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416"/>
  <sheetViews>
    <sheetView tabSelected="1" topLeftCell="A1400" zoomScale="60" zoomScaleNormal="60" zoomScalePageLayoutView="70" workbookViewId="0">
      <selection activeCell="A1416" sqref="A1416:D1416"/>
    </sheetView>
  </sheetViews>
  <sheetFormatPr defaultRowHeight="15" x14ac:dyDescent="0.25"/>
  <cols>
    <col min="1" max="1" width="9.140625" style="4"/>
    <col min="2" max="2" width="25.140625" style="4" customWidth="1"/>
    <col min="3" max="3" width="35.28515625" style="4" customWidth="1"/>
    <col min="4" max="4" width="38.140625" style="4" customWidth="1"/>
    <col min="5" max="5" width="31.7109375" style="4" customWidth="1"/>
    <col min="6" max="6" width="14.7109375" style="4" customWidth="1"/>
    <col min="7" max="7" width="19" style="4" customWidth="1"/>
    <col min="8" max="8" width="18.28515625" style="4" bestFit="1" customWidth="1"/>
    <col min="9" max="9" width="17.5703125" style="4" customWidth="1"/>
    <col min="10" max="10" width="17.85546875" style="4" customWidth="1"/>
    <col min="11" max="11" width="18.28515625" style="4" bestFit="1" customWidth="1"/>
    <col min="12" max="12" width="46.85546875" style="4" customWidth="1"/>
    <col min="13" max="16" width="24.42578125" style="4" customWidth="1"/>
    <col min="17" max="17" width="15" style="4" customWidth="1"/>
    <col min="18" max="18" width="19.28515625" style="4" customWidth="1"/>
    <col min="19" max="16384" width="9.140625" style="4"/>
  </cols>
  <sheetData>
    <row r="1" spans="1:11" ht="50.25" customHeight="1" x14ac:dyDescent="0.25">
      <c r="G1" s="5"/>
    </row>
    <row r="2" spans="1:11" ht="42" customHeight="1" x14ac:dyDescent="0.3">
      <c r="A2" s="81" t="s">
        <v>1001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4" spans="1:11" ht="99.75" customHeight="1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17</v>
      </c>
      <c r="H4" s="6" t="s">
        <v>997</v>
      </c>
      <c r="I4" s="6" t="s">
        <v>998</v>
      </c>
      <c r="J4" s="6" t="s">
        <v>999</v>
      </c>
      <c r="K4" s="6" t="s">
        <v>1000</v>
      </c>
    </row>
    <row r="5" spans="1:11" ht="15.75" x14ac:dyDescent="0.25">
      <c r="A5" s="6" t="s">
        <v>8</v>
      </c>
      <c r="B5" s="6" t="s">
        <v>9</v>
      </c>
      <c r="C5" s="6" t="s">
        <v>10</v>
      </c>
      <c r="D5" s="6" t="s">
        <v>11</v>
      </c>
      <c r="E5" s="6" t="s">
        <v>12</v>
      </c>
      <c r="F5" s="6" t="s">
        <v>13</v>
      </c>
      <c r="G5" s="6" t="s">
        <v>14</v>
      </c>
      <c r="H5" s="6">
        <v>8</v>
      </c>
      <c r="I5" s="6">
        <v>9</v>
      </c>
      <c r="J5" s="6">
        <v>10</v>
      </c>
      <c r="K5" s="6">
        <v>11</v>
      </c>
    </row>
    <row r="6" spans="1:11" ht="15.75" customHeight="1" x14ac:dyDescent="0.25">
      <c r="A6" s="7" t="s">
        <v>18</v>
      </c>
      <c r="B6" s="66" t="s">
        <v>19</v>
      </c>
      <c r="C6" s="67"/>
      <c r="D6" s="67"/>
      <c r="E6" s="67"/>
      <c r="F6" s="67"/>
      <c r="G6" s="67"/>
      <c r="H6" s="67"/>
      <c r="I6" s="67"/>
      <c r="J6" s="67"/>
      <c r="K6" s="68"/>
    </row>
    <row r="7" spans="1:11" ht="28.5" customHeight="1" x14ac:dyDescent="0.25">
      <c r="A7" s="55" t="s">
        <v>26</v>
      </c>
      <c r="B7" s="55" t="s">
        <v>1110</v>
      </c>
      <c r="C7" s="55" t="s">
        <v>20</v>
      </c>
      <c r="D7" s="8" t="s">
        <v>21</v>
      </c>
      <c r="E7" s="8" t="s">
        <v>36</v>
      </c>
      <c r="F7" s="9" t="s">
        <v>22</v>
      </c>
      <c r="G7" s="10">
        <f>665+859</f>
        <v>1524</v>
      </c>
      <c r="H7" s="10" t="s">
        <v>165</v>
      </c>
      <c r="I7" s="10" t="s">
        <v>165</v>
      </c>
      <c r="J7" s="10" t="s">
        <v>165</v>
      </c>
      <c r="K7" s="10" t="s">
        <v>165</v>
      </c>
    </row>
    <row r="8" spans="1:11" ht="66.75" customHeight="1" x14ac:dyDescent="0.25">
      <c r="A8" s="57"/>
      <c r="B8" s="56"/>
      <c r="C8" s="57"/>
      <c r="D8" s="8" t="s">
        <v>1136</v>
      </c>
      <c r="E8" s="8" t="s">
        <v>15</v>
      </c>
      <c r="F8" s="9" t="s">
        <v>6</v>
      </c>
      <c r="G8" s="1">
        <v>7837.08</v>
      </c>
      <c r="H8" s="1">
        <v>0</v>
      </c>
      <c r="I8" s="1">
        <v>0</v>
      </c>
      <c r="J8" s="1">
        <v>0</v>
      </c>
      <c r="K8" s="1">
        <v>0</v>
      </c>
    </row>
    <row r="9" spans="1:11" ht="31.5" x14ac:dyDescent="0.25">
      <c r="A9" s="55" t="s">
        <v>27</v>
      </c>
      <c r="B9" s="56"/>
      <c r="C9" s="55" t="s">
        <v>23</v>
      </c>
      <c r="D9" s="64" t="s">
        <v>33</v>
      </c>
      <c r="E9" s="8" t="s">
        <v>1122</v>
      </c>
      <c r="F9" s="9" t="s">
        <v>22</v>
      </c>
      <c r="G9" s="10">
        <v>3890</v>
      </c>
      <c r="H9" s="10" t="s">
        <v>165</v>
      </c>
      <c r="I9" s="10" t="s">
        <v>165</v>
      </c>
      <c r="J9" s="10" t="s">
        <v>165</v>
      </c>
      <c r="K9" s="10" t="s">
        <v>165</v>
      </c>
    </row>
    <row r="10" spans="1:11" ht="31.5" x14ac:dyDescent="0.25">
      <c r="A10" s="56"/>
      <c r="B10" s="56"/>
      <c r="C10" s="56"/>
      <c r="D10" s="65"/>
      <c r="E10" s="8" t="s">
        <v>1123</v>
      </c>
      <c r="F10" s="9" t="s">
        <v>22</v>
      </c>
      <c r="G10" s="10" t="s">
        <v>1125</v>
      </c>
      <c r="H10" s="10" t="s">
        <v>165</v>
      </c>
      <c r="I10" s="10" t="s">
        <v>165</v>
      </c>
      <c r="J10" s="10" t="s">
        <v>165</v>
      </c>
      <c r="K10" s="10" t="s">
        <v>165</v>
      </c>
    </row>
    <row r="11" spans="1:11" ht="63.75" customHeight="1" x14ac:dyDescent="0.25">
      <c r="A11" s="57"/>
      <c r="B11" s="56"/>
      <c r="C11" s="57"/>
      <c r="D11" s="8" t="s">
        <v>1136</v>
      </c>
      <c r="E11" s="8" t="s">
        <v>15</v>
      </c>
      <c r="F11" s="9" t="s">
        <v>6</v>
      </c>
      <c r="G11" s="1">
        <v>7931.35</v>
      </c>
      <c r="H11" s="1">
        <v>0</v>
      </c>
      <c r="I11" s="1">
        <v>0</v>
      </c>
      <c r="J11" s="1">
        <v>0</v>
      </c>
      <c r="K11" s="1">
        <v>0</v>
      </c>
    </row>
    <row r="12" spans="1:11" ht="31.5" x14ac:dyDescent="0.25">
      <c r="A12" s="55" t="s">
        <v>28</v>
      </c>
      <c r="B12" s="56"/>
      <c r="C12" s="55" t="s">
        <v>24</v>
      </c>
      <c r="D12" s="8" t="s">
        <v>34</v>
      </c>
      <c r="E12" s="8" t="s">
        <v>36</v>
      </c>
      <c r="F12" s="9" t="s">
        <v>22</v>
      </c>
      <c r="G12" s="10">
        <f>344+344</f>
        <v>688</v>
      </c>
      <c r="H12" s="10" t="s">
        <v>165</v>
      </c>
      <c r="I12" s="10" t="s">
        <v>165</v>
      </c>
      <c r="J12" s="10" t="s">
        <v>165</v>
      </c>
      <c r="K12" s="10" t="s">
        <v>165</v>
      </c>
    </row>
    <row r="13" spans="1:11" ht="63" x14ac:dyDescent="0.25">
      <c r="A13" s="57"/>
      <c r="B13" s="56"/>
      <c r="C13" s="57"/>
      <c r="D13" s="8" t="s">
        <v>1136</v>
      </c>
      <c r="E13" s="8" t="s">
        <v>15</v>
      </c>
      <c r="F13" s="9" t="s">
        <v>6</v>
      </c>
      <c r="G13" s="1">
        <v>3422.87</v>
      </c>
      <c r="H13" s="1">
        <v>0</v>
      </c>
      <c r="I13" s="1">
        <v>0</v>
      </c>
      <c r="J13" s="1">
        <v>0</v>
      </c>
      <c r="K13" s="1">
        <v>0</v>
      </c>
    </row>
    <row r="14" spans="1:11" ht="31.5" x14ac:dyDescent="0.25">
      <c r="A14" s="69" t="s">
        <v>29</v>
      </c>
      <c r="B14" s="56"/>
      <c r="C14" s="69" t="s">
        <v>25</v>
      </c>
      <c r="D14" s="8" t="s">
        <v>35</v>
      </c>
      <c r="E14" s="8" t="s">
        <v>1122</v>
      </c>
      <c r="F14" s="9" t="s">
        <v>22</v>
      </c>
      <c r="G14" s="10">
        <f>759+759</f>
        <v>1518</v>
      </c>
      <c r="H14" s="10" t="s">
        <v>165</v>
      </c>
      <c r="I14" s="10" t="s">
        <v>165</v>
      </c>
      <c r="J14" s="10" t="s">
        <v>165</v>
      </c>
      <c r="K14" s="10" t="s">
        <v>165</v>
      </c>
    </row>
    <row r="15" spans="1:11" ht="63" x14ac:dyDescent="0.25">
      <c r="A15" s="69"/>
      <c r="B15" s="56"/>
      <c r="C15" s="69"/>
      <c r="D15" s="8" t="s">
        <v>1136</v>
      </c>
      <c r="E15" s="8" t="s">
        <v>15</v>
      </c>
      <c r="F15" s="9" t="s">
        <v>6</v>
      </c>
      <c r="G15" s="1">
        <v>3745.2</v>
      </c>
      <c r="H15" s="1">
        <v>0</v>
      </c>
      <c r="I15" s="1">
        <v>0</v>
      </c>
      <c r="J15" s="1">
        <v>0</v>
      </c>
      <c r="K15" s="1">
        <v>0</v>
      </c>
    </row>
    <row r="16" spans="1:11" ht="31.5" x14ac:dyDescent="0.25">
      <c r="A16" s="55" t="s">
        <v>30</v>
      </c>
      <c r="B16" s="56"/>
      <c r="C16" s="55" t="s">
        <v>1126</v>
      </c>
      <c r="D16" s="8" t="s">
        <v>1133</v>
      </c>
      <c r="E16" s="8" t="s">
        <v>1127</v>
      </c>
      <c r="F16" s="9" t="s">
        <v>22</v>
      </c>
      <c r="G16" s="9" t="s">
        <v>165</v>
      </c>
      <c r="H16" s="10">
        <v>3304</v>
      </c>
      <c r="I16" s="10">
        <f>I17*1000/5107.08</f>
        <v>2940.4882002054819</v>
      </c>
      <c r="J16" s="10">
        <f>J17*1000/5107.08</f>
        <v>2325.8738907087532</v>
      </c>
      <c r="K16" s="10">
        <f>K17*1000/5107.08</f>
        <v>2294.4114777820419</v>
      </c>
    </row>
    <row r="17" spans="1:11" ht="63" x14ac:dyDescent="0.25">
      <c r="A17" s="57"/>
      <c r="B17" s="56"/>
      <c r="C17" s="57"/>
      <c r="D17" s="8" t="s">
        <v>1135</v>
      </c>
      <c r="E17" s="8" t="s">
        <v>15</v>
      </c>
      <c r="F17" s="9" t="s">
        <v>7</v>
      </c>
      <c r="G17" s="1">
        <v>0</v>
      </c>
      <c r="H17" s="1">
        <v>15769.1</v>
      </c>
      <c r="I17" s="1">
        <v>15017.308477505412</v>
      </c>
      <c r="J17" s="1">
        <v>11878.424029760858</v>
      </c>
      <c r="K17" s="1">
        <v>11717.74296995111</v>
      </c>
    </row>
    <row r="18" spans="1:11" ht="36.75" customHeight="1" x14ac:dyDescent="0.25">
      <c r="A18" s="55" t="s">
        <v>1137</v>
      </c>
      <c r="B18" s="56"/>
      <c r="C18" s="55" t="s">
        <v>1128</v>
      </c>
      <c r="D18" s="64" t="s">
        <v>1132</v>
      </c>
      <c r="E18" s="8" t="s">
        <v>1129</v>
      </c>
      <c r="F18" s="9" t="s">
        <v>1124</v>
      </c>
      <c r="G18" s="1" t="s">
        <v>165</v>
      </c>
      <c r="H18" s="10">
        <v>10424</v>
      </c>
      <c r="I18" s="10">
        <v>9251.749280144657</v>
      </c>
      <c r="J18" s="10">
        <v>7317.9692040825876</v>
      </c>
      <c r="K18" s="10">
        <v>7218.9780378789737</v>
      </c>
    </row>
    <row r="19" spans="1:11" ht="31.5" x14ac:dyDescent="0.25">
      <c r="A19" s="56"/>
      <c r="B19" s="56"/>
      <c r="C19" s="56"/>
      <c r="D19" s="65"/>
      <c r="E19" s="8" t="s">
        <v>1123</v>
      </c>
      <c r="F19" s="9" t="s">
        <v>1124</v>
      </c>
      <c r="G19" s="1" t="s">
        <v>165</v>
      </c>
      <c r="H19" s="10">
        <v>21</v>
      </c>
      <c r="I19" s="10">
        <v>21</v>
      </c>
      <c r="J19" s="10">
        <v>21</v>
      </c>
      <c r="K19" s="10">
        <v>21</v>
      </c>
    </row>
    <row r="20" spans="1:11" ht="63" x14ac:dyDescent="0.25">
      <c r="A20" s="57"/>
      <c r="B20" s="56"/>
      <c r="C20" s="57"/>
      <c r="D20" s="8" t="s">
        <v>1135</v>
      </c>
      <c r="E20" s="8" t="s">
        <v>15</v>
      </c>
      <c r="F20" s="9" t="s">
        <v>7</v>
      </c>
      <c r="G20" s="1">
        <v>0</v>
      </c>
      <c r="H20" s="1">
        <v>7680.8</v>
      </c>
      <c r="I20" s="1">
        <v>7314.6180158679681</v>
      </c>
      <c r="J20" s="1">
        <v>5785.732812131776</v>
      </c>
      <c r="K20" s="1">
        <v>5707.4684163078737</v>
      </c>
    </row>
    <row r="21" spans="1:11" ht="31.5" x14ac:dyDescent="0.25">
      <c r="A21" s="55" t="s">
        <v>1138</v>
      </c>
      <c r="B21" s="56"/>
      <c r="C21" s="55" t="s">
        <v>1130</v>
      </c>
      <c r="D21" s="8" t="s">
        <v>1134</v>
      </c>
      <c r="E21" s="8" t="s">
        <v>1131</v>
      </c>
      <c r="F21" s="9" t="s">
        <v>61</v>
      </c>
      <c r="G21" s="1" t="s">
        <v>165</v>
      </c>
      <c r="H21" s="11">
        <v>320</v>
      </c>
      <c r="I21" s="12">
        <v>284.3317058525173</v>
      </c>
      <c r="J21" s="12">
        <v>224.901324513677</v>
      </c>
      <c r="K21" s="12">
        <v>221.85905366318934</v>
      </c>
    </row>
    <row r="22" spans="1:11" ht="63" x14ac:dyDescent="0.25">
      <c r="A22" s="57"/>
      <c r="B22" s="57"/>
      <c r="C22" s="57"/>
      <c r="D22" s="8" t="s">
        <v>1135</v>
      </c>
      <c r="E22" s="8" t="s">
        <v>15</v>
      </c>
      <c r="F22" s="9" t="s">
        <v>6</v>
      </c>
      <c r="G22" s="1">
        <v>0</v>
      </c>
      <c r="H22" s="1">
        <v>3283.2</v>
      </c>
      <c r="I22" s="1">
        <v>3126.673506626616</v>
      </c>
      <c r="J22" s="1">
        <v>2473.1431581073648</v>
      </c>
      <c r="K22" s="1">
        <v>2439.6886137410179</v>
      </c>
    </row>
    <row r="23" spans="1:11" ht="63" x14ac:dyDescent="0.25">
      <c r="A23" s="61" t="s">
        <v>31</v>
      </c>
      <c r="B23" s="62"/>
      <c r="C23" s="62"/>
      <c r="D23" s="63"/>
      <c r="E23" s="13" t="s">
        <v>16</v>
      </c>
      <c r="F23" s="14" t="s">
        <v>7</v>
      </c>
      <c r="G23" s="15">
        <f>G8+G11+G13+G15+G17+G20+G22</f>
        <v>22936.5</v>
      </c>
      <c r="H23" s="15">
        <f>H8+H11+H13+H15+H17+H20+H22</f>
        <v>26733.100000000002</v>
      </c>
      <c r="I23" s="15">
        <f t="shared" ref="I23:K23" si="0">I8+I11+I13+I15+I17+I20+I22</f>
        <v>25458.599999999995</v>
      </c>
      <c r="J23" s="15">
        <f t="shared" si="0"/>
        <v>20137.299999999996</v>
      </c>
      <c r="K23" s="15">
        <f t="shared" si="0"/>
        <v>19864.900000000001</v>
      </c>
    </row>
    <row r="24" spans="1:11" ht="63" x14ac:dyDescent="0.25">
      <c r="A24" s="58" t="s">
        <v>32</v>
      </c>
      <c r="B24" s="59"/>
      <c r="C24" s="59"/>
      <c r="D24" s="60"/>
      <c r="E24" s="16" t="s">
        <v>16</v>
      </c>
      <c r="F24" s="17" t="s">
        <v>7</v>
      </c>
      <c r="G24" s="18">
        <f>G23</f>
        <v>22936.5</v>
      </c>
      <c r="H24" s="18">
        <f>H23</f>
        <v>26733.100000000002</v>
      </c>
      <c r="I24" s="18">
        <f t="shared" ref="I24:K24" si="1">I23</f>
        <v>25458.599999999995</v>
      </c>
      <c r="J24" s="18">
        <f t="shared" si="1"/>
        <v>20137.299999999996</v>
      </c>
      <c r="K24" s="18">
        <f t="shared" si="1"/>
        <v>19864.900000000001</v>
      </c>
    </row>
    <row r="25" spans="1:11" ht="15.75" x14ac:dyDescent="0.25">
      <c r="A25" s="17" t="s">
        <v>824</v>
      </c>
      <c r="B25" s="66" t="s">
        <v>496</v>
      </c>
      <c r="C25" s="67"/>
      <c r="D25" s="67"/>
      <c r="E25" s="67"/>
      <c r="F25" s="67"/>
      <c r="G25" s="68"/>
      <c r="H25" s="19"/>
      <c r="I25" s="19"/>
      <c r="J25" s="19"/>
      <c r="K25" s="19"/>
    </row>
    <row r="26" spans="1:11" ht="35.25" customHeight="1" x14ac:dyDescent="0.25">
      <c r="A26" s="55" t="s">
        <v>825</v>
      </c>
      <c r="B26" s="55" t="s">
        <v>497</v>
      </c>
      <c r="C26" s="55" t="s">
        <v>499</v>
      </c>
      <c r="D26" s="64" t="s">
        <v>498</v>
      </c>
      <c r="E26" s="8" t="s">
        <v>500</v>
      </c>
      <c r="F26" s="9" t="s">
        <v>504</v>
      </c>
      <c r="G26" s="10">
        <f>117395+3896</f>
        <v>121291</v>
      </c>
      <c r="H26" s="10">
        <v>129715</v>
      </c>
      <c r="I26" s="10">
        <v>129715</v>
      </c>
      <c r="J26" s="10">
        <v>129715</v>
      </c>
      <c r="K26" s="10">
        <v>129715</v>
      </c>
    </row>
    <row r="27" spans="1:11" ht="31.5" x14ac:dyDescent="0.25">
      <c r="A27" s="56"/>
      <c r="B27" s="56"/>
      <c r="C27" s="56"/>
      <c r="D27" s="65"/>
      <c r="E27" s="8" t="s">
        <v>501</v>
      </c>
      <c r="F27" s="9" t="s">
        <v>504</v>
      </c>
      <c r="G27" s="10">
        <f>2782+927</f>
        <v>3709</v>
      </c>
      <c r="H27" s="10">
        <f t="shared" ref="H27" si="2">ROUND(G27/1000,1)</f>
        <v>3.7</v>
      </c>
      <c r="I27" s="10">
        <v>0</v>
      </c>
      <c r="J27" s="10">
        <v>0</v>
      </c>
      <c r="K27" s="10">
        <v>0</v>
      </c>
    </row>
    <row r="28" spans="1:11" ht="32.25" customHeight="1" x14ac:dyDescent="0.25">
      <c r="A28" s="56"/>
      <c r="B28" s="56"/>
      <c r="C28" s="56"/>
      <c r="D28" s="8" t="s">
        <v>567</v>
      </c>
      <c r="E28" s="64" t="s">
        <v>15</v>
      </c>
      <c r="F28" s="55" t="s">
        <v>7</v>
      </c>
      <c r="G28" s="1">
        <v>15087.88</v>
      </c>
      <c r="H28" s="1">
        <v>24162.5</v>
      </c>
      <c r="I28" s="1">
        <v>18866.900000000001</v>
      </c>
      <c r="J28" s="1">
        <v>14118.2</v>
      </c>
      <c r="K28" s="1">
        <v>12566.1</v>
      </c>
    </row>
    <row r="29" spans="1:11" ht="21.75" customHeight="1" x14ac:dyDescent="0.25">
      <c r="A29" s="56"/>
      <c r="B29" s="56"/>
      <c r="C29" s="56"/>
      <c r="D29" s="8" t="s">
        <v>590</v>
      </c>
      <c r="E29" s="71"/>
      <c r="F29" s="56"/>
      <c r="G29" s="1">
        <v>223.3</v>
      </c>
      <c r="H29" s="1">
        <v>2217.3000000000002</v>
      </c>
      <c r="I29" s="1">
        <v>2194.8000000000002</v>
      </c>
      <c r="J29" s="1">
        <v>1632.2</v>
      </c>
      <c r="K29" s="1">
        <v>1435.1</v>
      </c>
    </row>
    <row r="30" spans="1:11" ht="21.75" customHeight="1" x14ac:dyDescent="0.25">
      <c r="A30" s="56"/>
      <c r="B30" s="56"/>
      <c r="C30" s="56"/>
      <c r="D30" s="8" t="s">
        <v>593</v>
      </c>
      <c r="E30" s="71"/>
      <c r="F30" s="56"/>
      <c r="G30" s="1">
        <v>0</v>
      </c>
      <c r="H30" s="1">
        <v>18130.3</v>
      </c>
      <c r="I30" s="1">
        <v>15507.2</v>
      </c>
      <c r="J30" s="1">
        <v>11604.4</v>
      </c>
      <c r="K30" s="1">
        <v>11413.8</v>
      </c>
    </row>
    <row r="31" spans="1:11" ht="18" customHeight="1" x14ac:dyDescent="0.25">
      <c r="A31" s="56"/>
      <c r="B31" s="56"/>
      <c r="C31" s="56"/>
      <c r="D31" s="20" t="s">
        <v>566</v>
      </c>
      <c r="E31" s="71"/>
      <c r="F31" s="56"/>
      <c r="G31" s="1">
        <v>1263.74</v>
      </c>
      <c r="H31" s="1">
        <v>377.9</v>
      </c>
      <c r="I31" s="1">
        <v>304.10000000000002</v>
      </c>
      <c r="J31" s="1">
        <v>229.9</v>
      </c>
      <c r="K31" s="1">
        <v>227.8</v>
      </c>
    </row>
    <row r="32" spans="1:11" ht="18" customHeight="1" x14ac:dyDescent="0.25">
      <c r="A32" s="56"/>
      <c r="B32" s="56"/>
      <c r="C32" s="56"/>
      <c r="D32" s="21" t="s">
        <v>591</v>
      </c>
      <c r="E32" s="65"/>
      <c r="F32" s="57"/>
      <c r="G32" s="1">
        <v>1263.74</v>
      </c>
      <c r="H32" s="1">
        <v>1995.4</v>
      </c>
      <c r="I32" s="1">
        <v>1890.6</v>
      </c>
      <c r="J32" s="1">
        <v>1442.7</v>
      </c>
      <c r="K32" s="1">
        <v>1438.4</v>
      </c>
    </row>
    <row r="33" spans="1:11" ht="31.5" x14ac:dyDescent="0.25">
      <c r="A33" s="56"/>
      <c r="B33" s="56"/>
      <c r="C33" s="56"/>
      <c r="D33" s="64" t="s">
        <v>498</v>
      </c>
      <c r="E33" s="8" t="s">
        <v>502</v>
      </c>
      <c r="F33" s="9" t="s">
        <v>504</v>
      </c>
      <c r="G33" s="10">
        <f>152996+4787</f>
        <v>157783</v>
      </c>
      <c r="H33" s="10">
        <v>172514</v>
      </c>
      <c r="I33" s="10">
        <v>172514</v>
      </c>
      <c r="J33" s="10">
        <v>172514</v>
      </c>
      <c r="K33" s="10">
        <v>172514</v>
      </c>
    </row>
    <row r="34" spans="1:11" ht="31.5" x14ac:dyDescent="0.25">
      <c r="A34" s="56"/>
      <c r="B34" s="56"/>
      <c r="C34" s="56"/>
      <c r="D34" s="65"/>
      <c r="E34" s="8" t="s">
        <v>503</v>
      </c>
      <c r="F34" s="9" t="s">
        <v>504</v>
      </c>
      <c r="G34" s="10">
        <f>2805+935</f>
        <v>3740</v>
      </c>
      <c r="H34" s="10">
        <v>0</v>
      </c>
      <c r="I34" s="10">
        <v>0</v>
      </c>
      <c r="J34" s="10">
        <v>0</v>
      </c>
      <c r="K34" s="10">
        <v>0</v>
      </c>
    </row>
    <row r="35" spans="1:11" ht="34.5" customHeight="1" x14ac:dyDescent="0.25">
      <c r="A35" s="56"/>
      <c r="B35" s="56"/>
      <c r="C35" s="56"/>
      <c r="D35" s="8" t="s">
        <v>568</v>
      </c>
      <c r="E35" s="64" t="s">
        <v>15</v>
      </c>
      <c r="F35" s="55" t="s">
        <v>7</v>
      </c>
      <c r="G35" s="1">
        <v>19110.61</v>
      </c>
      <c r="H35" s="1">
        <v>29997.3</v>
      </c>
      <c r="I35" s="1">
        <v>23423</v>
      </c>
      <c r="J35" s="1">
        <v>17527.5</v>
      </c>
      <c r="K35" s="1">
        <v>15600.6</v>
      </c>
    </row>
    <row r="36" spans="1:11" ht="20.25" customHeight="1" x14ac:dyDescent="0.25">
      <c r="A36" s="56"/>
      <c r="B36" s="56"/>
      <c r="C36" s="56"/>
      <c r="D36" s="8" t="s">
        <v>590</v>
      </c>
      <c r="E36" s="71"/>
      <c r="F36" s="56"/>
      <c r="G36" s="1">
        <v>622.21</v>
      </c>
      <c r="H36" s="1">
        <v>2050.6</v>
      </c>
      <c r="I36" s="1">
        <v>2029.8</v>
      </c>
      <c r="J36" s="1">
        <v>1509.5</v>
      </c>
      <c r="K36" s="1">
        <v>1327.2</v>
      </c>
    </row>
    <row r="37" spans="1:11" ht="20.25" customHeight="1" x14ac:dyDescent="0.25">
      <c r="A37" s="56"/>
      <c r="B37" s="56"/>
      <c r="C37" s="56"/>
      <c r="D37" s="8" t="s">
        <v>584</v>
      </c>
      <c r="E37" s="71"/>
      <c r="F37" s="56"/>
      <c r="G37" s="1">
        <v>0</v>
      </c>
      <c r="H37" s="1">
        <v>2209.9</v>
      </c>
      <c r="I37" s="1">
        <v>1477</v>
      </c>
      <c r="J37" s="1">
        <v>1098.4000000000001</v>
      </c>
      <c r="K37" s="1">
        <v>965.8</v>
      </c>
    </row>
    <row r="38" spans="1:11" ht="21" customHeight="1" x14ac:dyDescent="0.25">
      <c r="A38" s="56"/>
      <c r="B38" s="56"/>
      <c r="C38" s="56"/>
      <c r="D38" s="20" t="s">
        <v>569</v>
      </c>
      <c r="E38" s="71"/>
      <c r="F38" s="56"/>
      <c r="G38" s="1">
        <v>2407.94</v>
      </c>
      <c r="H38" s="1">
        <v>377.9</v>
      </c>
      <c r="I38" s="1">
        <v>304.10000000000002</v>
      </c>
      <c r="J38" s="1">
        <v>229.9</v>
      </c>
      <c r="K38" s="1">
        <v>227.8</v>
      </c>
    </row>
    <row r="39" spans="1:11" ht="20.25" customHeight="1" x14ac:dyDescent="0.25">
      <c r="A39" s="56"/>
      <c r="B39" s="56"/>
      <c r="C39" s="56"/>
      <c r="D39" s="21" t="s">
        <v>591</v>
      </c>
      <c r="E39" s="65"/>
      <c r="F39" s="57"/>
      <c r="G39" s="1">
        <v>1407.94</v>
      </c>
      <c r="H39" s="1">
        <v>3802.1</v>
      </c>
      <c r="I39" s="1">
        <v>3602.4</v>
      </c>
      <c r="J39" s="1">
        <v>2748.9</v>
      </c>
      <c r="K39" s="1">
        <v>2740.7</v>
      </c>
    </row>
    <row r="40" spans="1:11" ht="31.5" x14ac:dyDescent="0.25">
      <c r="A40" s="56"/>
      <c r="B40" s="56"/>
      <c r="C40" s="56"/>
      <c r="D40" s="64" t="s">
        <v>498</v>
      </c>
      <c r="E40" s="8" t="s">
        <v>505</v>
      </c>
      <c r="F40" s="9" t="s">
        <v>504</v>
      </c>
      <c r="G40" s="10">
        <f>38435+3410+651</f>
        <v>42496</v>
      </c>
      <c r="H40" s="10">
        <v>61737</v>
      </c>
      <c r="I40" s="10">
        <v>61737</v>
      </c>
      <c r="J40" s="10">
        <v>61737</v>
      </c>
      <c r="K40" s="10">
        <v>61737</v>
      </c>
    </row>
    <row r="41" spans="1:11" ht="31.5" x14ac:dyDescent="0.25">
      <c r="A41" s="56"/>
      <c r="B41" s="56"/>
      <c r="C41" s="56"/>
      <c r="D41" s="65"/>
      <c r="E41" s="8" t="s">
        <v>506</v>
      </c>
      <c r="F41" s="9" t="s">
        <v>504</v>
      </c>
      <c r="G41" s="10">
        <v>429</v>
      </c>
      <c r="H41" s="10">
        <v>0</v>
      </c>
      <c r="I41" s="10">
        <v>0</v>
      </c>
      <c r="J41" s="10">
        <v>0</v>
      </c>
      <c r="K41" s="10">
        <v>0</v>
      </c>
    </row>
    <row r="42" spans="1:11" ht="31.5" customHeight="1" x14ac:dyDescent="0.25">
      <c r="A42" s="56"/>
      <c r="B42" s="56"/>
      <c r="C42" s="56"/>
      <c r="D42" s="8" t="s">
        <v>570</v>
      </c>
      <c r="E42" s="64" t="s">
        <v>15</v>
      </c>
      <c r="F42" s="55" t="s">
        <v>7</v>
      </c>
      <c r="G42" s="1">
        <v>4214.96</v>
      </c>
      <c r="H42" s="1">
        <v>7082.4</v>
      </c>
      <c r="I42" s="1">
        <v>5530.2</v>
      </c>
      <c r="J42" s="1">
        <v>4138.3</v>
      </c>
      <c r="K42" s="1">
        <v>3683.3</v>
      </c>
    </row>
    <row r="43" spans="1:11" ht="19.5" customHeight="1" x14ac:dyDescent="0.25">
      <c r="A43" s="56"/>
      <c r="B43" s="56"/>
      <c r="C43" s="56"/>
      <c r="D43" s="8" t="s">
        <v>590</v>
      </c>
      <c r="E43" s="71"/>
      <c r="F43" s="56"/>
      <c r="G43" s="1">
        <v>397.37</v>
      </c>
      <c r="H43" s="1">
        <v>1311.1</v>
      </c>
      <c r="I43" s="1">
        <v>1297.8</v>
      </c>
      <c r="J43" s="1">
        <v>965.1</v>
      </c>
      <c r="K43" s="1">
        <v>848.5</v>
      </c>
    </row>
    <row r="44" spans="1:11" ht="19.5" customHeight="1" x14ac:dyDescent="0.25">
      <c r="A44" s="56"/>
      <c r="B44" s="56"/>
      <c r="C44" s="56"/>
      <c r="D44" s="8" t="s">
        <v>584</v>
      </c>
      <c r="E44" s="71"/>
      <c r="F44" s="56"/>
      <c r="G44" s="1">
        <v>0</v>
      </c>
      <c r="H44" s="1">
        <v>1133.3</v>
      </c>
      <c r="I44" s="1">
        <v>757.5</v>
      </c>
      <c r="J44" s="1">
        <v>563.29999999999995</v>
      </c>
      <c r="K44" s="1">
        <v>495.3</v>
      </c>
    </row>
    <row r="45" spans="1:11" ht="18" customHeight="1" x14ac:dyDescent="0.25">
      <c r="A45" s="56"/>
      <c r="B45" s="56"/>
      <c r="C45" s="56"/>
      <c r="D45" s="20" t="s">
        <v>569</v>
      </c>
      <c r="E45" s="71"/>
      <c r="F45" s="56"/>
      <c r="G45" s="1">
        <v>1675.3100000000004</v>
      </c>
      <c r="H45" s="1">
        <v>6704.4</v>
      </c>
      <c r="I45" s="1">
        <v>5394.3</v>
      </c>
      <c r="J45" s="1">
        <v>4079.3</v>
      </c>
      <c r="K45" s="1">
        <v>4041.9</v>
      </c>
    </row>
    <row r="46" spans="1:11" ht="18.75" customHeight="1" x14ac:dyDescent="0.25">
      <c r="A46" s="56"/>
      <c r="B46" s="56"/>
      <c r="C46" s="56"/>
      <c r="D46" s="21" t="s">
        <v>591</v>
      </c>
      <c r="E46" s="65"/>
      <c r="F46" s="57"/>
      <c r="G46" s="22">
        <v>964.18000000000006</v>
      </c>
      <c r="H46" s="1">
        <v>2750.4</v>
      </c>
      <c r="I46" s="1">
        <v>2605.9</v>
      </c>
      <c r="J46" s="1">
        <v>1988.5</v>
      </c>
      <c r="K46" s="1">
        <v>1982.6</v>
      </c>
    </row>
    <row r="47" spans="1:11" ht="31.5" x14ac:dyDescent="0.25">
      <c r="A47" s="56"/>
      <c r="B47" s="56"/>
      <c r="C47" s="56"/>
      <c r="D47" s="64" t="s">
        <v>498</v>
      </c>
      <c r="E47" s="23" t="s">
        <v>507</v>
      </c>
      <c r="F47" s="24" t="s">
        <v>504</v>
      </c>
      <c r="G47" s="25">
        <f>112296+5090+4113</f>
        <v>121499</v>
      </c>
      <c r="H47" s="25">
        <v>130031</v>
      </c>
      <c r="I47" s="25">
        <v>130031</v>
      </c>
      <c r="J47" s="25">
        <v>130031</v>
      </c>
      <c r="K47" s="25">
        <v>130031</v>
      </c>
    </row>
    <row r="48" spans="1:11" ht="31.5" x14ac:dyDescent="0.25">
      <c r="A48" s="56"/>
      <c r="B48" s="56"/>
      <c r="C48" s="56"/>
      <c r="D48" s="65"/>
      <c r="E48" s="8" t="s">
        <v>508</v>
      </c>
      <c r="F48" s="9" t="s">
        <v>504</v>
      </c>
      <c r="G48" s="10">
        <v>2678</v>
      </c>
      <c r="H48" s="25">
        <v>0</v>
      </c>
      <c r="I48" s="25">
        <v>0</v>
      </c>
      <c r="J48" s="25">
        <v>0</v>
      </c>
      <c r="K48" s="25">
        <v>0</v>
      </c>
    </row>
    <row r="49" spans="1:11" ht="33.75" customHeight="1" x14ac:dyDescent="0.25">
      <c r="A49" s="56"/>
      <c r="B49" s="56"/>
      <c r="C49" s="56"/>
      <c r="D49" s="8" t="s">
        <v>585</v>
      </c>
      <c r="E49" s="64" t="s">
        <v>15</v>
      </c>
      <c r="F49" s="55" t="s">
        <v>7</v>
      </c>
      <c r="G49" s="1">
        <v>16079.87</v>
      </c>
      <c r="H49" s="1">
        <v>21999</v>
      </c>
      <c r="I49" s="1">
        <v>17177.599999999999</v>
      </c>
      <c r="J49" s="1">
        <v>12854</v>
      </c>
      <c r="K49" s="1">
        <v>11441</v>
      </c>
    </row>
    <row r="50" spans="1:11" ht="20.25" customHeight="1" x14ac:dyDescent="0.25">
      <c r="A50" s="56"/>
      <c r="B50" s="56"/>
      <c r="C50" s="56"/>
      <c r="D50" s="8" t="s">
        <v>586</v>
      </c>
      <c r="E50" s="71"/>
      <c r="F50" s="56"/>
      <c r="G50" s="1">
        <v>647.08000000000004</v>
      </c>
      <c r="H50" s="1">
        <v>0</v>
      </c>
      <c r="I50" s="1">
        <v>0</v>
      </c>
      <c r="J50" s="1">
        <v>0</v>
      </c>
      <c r="K50" s="1">
        <v>0</v>
      </c>
    </row>
    <row r="51" spans="1:11" ht="21" customHeight="1" x14ac:dyDescent="0.25">
      <c r="A51" s="56"/>
      <c r="B51" s="56"/>
      <c r="C51" s="56"/>
      <c r="D51" s="8" t="s">
        <v>569</v>
      </c>
      <c r="E51" s="71"/>
      <c r="F51" s="56"/>
      <c r="G51" s="1">
        <v>499.03999999999996</v>
      </c>
      <c r="H51" s="1">
        <v>1289</v>
      </c>
      <c r="I51" s="1">
        <v>1037.0999999999999</v>
      </c>
      <c r="J51" s="1">
        <v>784.3</v>
      </c>
      <c r="K51" s="1">
        <v>777.1</v>
      </c>
    </row>
    <row r="52" spans="1:11" ht="21" customHeight="1" x14ac:dyDescent="0.25">
      <c r="A52" s="56"/>
      <c r="B52" s="56"/>
      <c r="C52" s="56"/>
      <c r="D52" s="8" t="s">
        <v>584</v>
      </c>
      <c r="E52" s="71"/>
      <c r="F52" s="56"/>
      <c r="G52" s="1">
        <v>0</v>
      </c>
      <c r="H52" s="1">
        <v>2323.1</v>
      </c>
      <c r="I52" s="1">
        <v>1552.8</v>
      </c>
      <c r="J52" s="1">
        <v>1154.8</v>
      </c>
      <c r="K52" s="1">
        <v>1015.3</v>
      </c>
    </row>
    <row r="53" spans="1:11" ht="21" customHeight="1" x14ac:dyDescent="0.25">
      <c r="A53" s="56"/>
      <c r="B53" s="56"/>
      <c r="C53" s="56"/>
      <c r="D53" s="8" t="s">
        <v>572</v>
      </c>
      <c r="E53" s="71"/>
      <c r="F53" s="56"/>
      <c r="G53" s="1">
        <v>923.9</v>
      </c>
      <c r="H53" s="1">
        <v>3189.8</v>
      </c>
      <c r="I53" s="1">
        <v>2463.1999999999998</v>
      </c>
      <c r="J53" s="1">
        <v>1874</v>
      </c>
      <c r="K53" s="1">
        <v>1864.5</v>
      </c>
    </row>
    <row r="54" spans="1:11" ht="21" customHeight="1" x14ac:dyDescent="0.25">
      <c r="A54" s="56"/>
      <c r="B54" s="56"/>
      <c r="C54" s="56"/>
      <c r="D54" s="8" t="s">
        <v>590</v>
      </c>
      <c r="E54" s="71"/>
      <c r="F54" s="56"/>
      <c r="G54" s="1">
        <v>213.08</v>
      </c>
      <c r="H54" s="1">
        <v>1025.4000000000001</v>
      </c>
      <c r="I54" s="1">
        <v>1015</v>
      </c>
      <c r="J54" s="1">
        <v>754.8</v>
      </c>
      <c r="K54" s="1">
        <v>663.7</v>
      </c>
    </row>
    <row r="55" spans="1:11" ht="21" customHeight="1" x14ac:dyDescent="0.25">
      <c r="A55" s="56"/>
      <c r="B55" s="56"/>
      <c r="C55" s="56"/>
      <c r="D55" s="8" t="s">
        <v>591</v>
      </c>
      <c r="E55" s="65"/>
      <c r="F55" s="57"/>
      <c r="G55" s="1">
        <v>1851.96</v>
      </c>
      <c r="H55" s="1">
        <v>4503.2</v>
      </c>
      <c r="I55" s="1">
        <v>4266.6000000000004</v>
      </c>
      <c r="J55" s="1">
        <v>3255.8</v>
      </c>
      <c r="K55" s="1">
        <v>3246.1</v>
      </c>
    </row>
    <row r="56" spans="1:11" ht="220.5" x14ac:dyDescent="0.25">
      <c r="A56" s="56"/>
      <c r="B56" s="56"/>
      <c r="C56" s="56"/>
      <c r="D56" s="20" t="s">
        <v>498</v>
      </c>
      <c r="E56" s="8" t="s">
        <v>509</v>
      </c>
      <c r="F56" s="9" t="s">
        <v>504</v>
      </c>
      <c r="G56" s="10">
        <v>107092</v>
      </c>
      <c r="H56" s="10">
        <v>106468</v>
      </c>
      <c r="I56" s="10">
        <v>106468</v>
      </c>
      <c r="J56" s="10">
        <v>106468</v>
      </c>
      <c r="K56" s="10">
        <v>106468</v>
      </c>
    </row>
    <row r="57" spans="1:11" ht="31.5" x14ac:dyDescent="0.25">
      <c r="A57" s="56"/>
      <c r="B57" s="56"/>
      <c r="C57" s="56"/>
      <c r="D57" s="8" t="s">
        <v>571</v>
      </c>
      <c r="E57" s="64" t="s">
        <v>15</v>
      </c>
      <c r="F57" s="55" t="s">
        <v>7</v>
      </c>
      <c r="G57" s="1">
        <v>9734.82</v>
      </c>
      <c r="H57" s="1">
        <v>0</v>
      </c>
      <c r="I57" s="1">
        <v>0</v>
      </c>
      <c r="J57" s="1">
        <v>0</v>
      </c>
      <c r="K57" s="1">
        <v>0</v>
      </c>
    </row>
    <row r="58" spans="1:11" ht="15.75" x14ac:dyDescent="0.25">
      <c r="A58" s="56"/>
      <c r="B58" s="56"/>
      <c r="C58" s="56"/>
      <c r="D58" s="8" t="s">
        <v>593</v>
      </c>
      <c r="E58" s="71"/>
      <c r="F58" s="56"/>
      <c r="G58" s="1">
        <v>6577.9400000000005</v>
      </c>
      <c r="H58" s="1">
        <v>0</v>
      </c>
      <c r="I58" s="1">
        <v>0</v>
      </c>
      <c r="J58" s="1">
        <v>0</v>
      </c>
      <c r="K58" s="1">
        <v>0</v>
      </c>
    </row>
    <row r="59" spans="1:11" ht="15.75" x14ac:dyDescent="0.25">
      <c r="A59" s="56"/>
      <c r="B59" s="56"/>
      <c r="C59" s="56"/>
      <c r="D59" s="20" t="s">
        <v>572</v>
      </c>
      <c r="E59" s="65"/>
      <c r="F59" s="57"/>
      <c r="G59" s="1">
        <v>17722.09</v>
      </c>
      <c r="H59" s="1">
        <v>29775.1</v>
      </c>
      <c r="I59" s="1">
        <v>22992.2</v>
      </c>
      <c r="J59" s="1">
        <v>17492.599999999999</v>
      </c>
      <c r="K59" s="1">
        <v>17404.599999999999</v>
      </c>
    </row>
    <row r="60" spans="1:11" ht="267.75" x14ac:dyDescent="0.25">
      <c r="A60" s="56"/>
      <c r="B60" s="56"/>
      <c r="C60" s="56"/>
      <c r="D60" s="20" t="s">
        <v>498</v>
      </c>
      <c r="E60" s="8" t="s">
        <v>561</v>
      </c>
      <c r="F60" s="9" t="s">
        <v>504</v>
      </c>
      <c r="G60" s="10">
        <v>16227</v>
      </c>
      <c r="H60" s="10">
        <v>17000</v>
      </c>
      <c r="I60" s="10">
        <v>17000</v>
      </c>
      <c r="J60" s="10">
        <v>17000</v>
      </c>
      <c r="K60" s="10">
        <v>17000</v>
      </c>
    </row>
    <row r="61" spans="1:11" ht="63" x14ac:dyDescent="0.25">
      <c r="A61" s="57"/>
      <c r="B61" s="56"/>
      <c r="C61" s="57"/>
      <c r="D61" s="8" t="s">
        <v>573</v>
      </c>
      <c r="E61" s="23" t="s">
        <v>15</v>
      </c>
      <c r="F61" s="24" t="s">
        <v>7</v>
      </c>
      <c r="G61" s="1">
        <v>25764.1</v>
      </c>
      <c r="H61" s="1">
        <v>39247.1</v>
      </c>
      <c r="I61" s="1">
        <v>34275</v>
      </c>
      <c r="J61" s="1">
        <v>25600.7</v>
      </c>
      <c r="K61" s="1">
        <v>25147.1</v>
      </c>
    </row>
    <row r="62" spans="1:11" ht="67.5" customHeight="1" x14ac:dyDescent="0.25">
      <c r="A62" s="55" t="s">
        <v>826</v>
      </c>
      <c r="B62" s="56"/>
      <c r="C62" s="55" t="s">
        <v>510</v>
      </c>
      <c r="D62" s="20" t="s">
        <v>512</v>
      </c>
      <c r="E62" s="8" t="s">
        <v>511</v>
      </c>
      <c r="F62" s="9" t="s">
        <v>504</v>
      </c>
      <c r="G62" s="10">
        <v>252</v>
      </c>
      <c r="H62" s="10">
        <v>260</v>
      </c>
      <c r="I62" s="10">
        <v>260</v>
      </c>
      <c r="J62" s="10">
        <v>260</v>
      </c>
      <c r="K62" s="10">
        <v>260</v>
      </c>
    </row>
    <row r="63" spans="1:11" ht="67.5" customHeight="1" x14ac:dyDescent="0.25">
      <c r="A63" s="56"/>
      <c r="B63" s="56"/>
      <c r="C63" s="56"/>
      <c r="D63" s="8" t="s">
        <v>574</v>
      </c>
      <c r="E63" s="23" t="s">
        <v>15</v>
      </c>
      <c r="F63" s="24" t="s">
        <v>7</v>
      </c>
      <c r="G63" s="1">
        <v>4598.8</v>
      </c>
      <c r="H63" s="1">
        <v>8072.4</v>
      </c>
      <c r="I63" s="1">
        <v>6495</v>
      </c>
      <c r="J63" s="1">
        <v>4911.8</v>
      </c>
      <c r="K63" s="1">
        <v>4866.8</v>
      </c>
    </row>
    <row r="64" spans="1:11" ht="31.5" x14ac:dyDescent="0.25">
      <c r="A64" s="56"/>
      <c r="B64" s="56"/>
      <c r="C64" s="56"/>
      <c r="D64" s="20" t="s">
        <v>512</v>
      </c>
      <c r="E64" s="8" t="s">
        <v>513</v>
      </c>
      <c r="F64" s="9" t="s">
        <v>504</v>
      </c>
      <c r="G64" s="10">
        <f>550+58</f>
        <v>608</v>
      </c>
      <c r="H64" s="10">
        <v>641</v>
      </c>
      <c r="I64" s="10">
        <v>641</v>
      </c>
      <c r="J64" s="10">
        <v>641</v>
      </c>
      <c r="K64" s="10">
        <v>641</v>
      </c>
    </row>
    <row r="65" spans="1:11" ht="30" customHeight="1" x14ac:dyDescent="0.25">
      <c r="A65" s="56"/>
      <c r="B65" s="56"/>
      <c r="C65" s="56"/>
      <c r="D65" s="27" t="s">
        <v>577</v>
      </c>
      <c r="E65" s="64" t="s">
        <v>15</v>
      </c>
      <c r="F65" s="55" t="s">
        <v>7</v>
      </c>
      <c r="G65" s="1">
        <v>6066.15</v>
      </c>
      <c r="H65" s="1">
        <v>9687.2999999999993</v>
      </c>
      <c r="I65" s="1">
        <v>7564.2</v>
      </c>
      <c r="J65" s="1">
        <v>5660.3</v>
      </c>
      <c r="K65" s="1">
        <v>5038.1000000000004</v>
      </c>
    </row>
    <row r="66" spans="1:11" ht="21" customHeight="1" x14ac:dyDescent="0.25">
      <c r="A66" s="56"/>
      <c r="B66" s="56"/>
      <c r="C66" s="56"/>
      <c r="D66" s="27" t="s">
        <v>591</v>
      </c>
      <c r="E66" s="71"/>
      <c r="F66" s="56"/>
      <c r="G66" s="1">
        <v>1447.32</v>
      </c>
      <c r="H66" s="1">
        <v>11201.8</v>
      </c>
      <c r="I66" s="1">
        <v>10613.3</v>
      </c>
      <c r="J66" s="1">
        <v>8098.8</v>
      </c>
      <c r="K66" s="1">
        <v>8074.7</v>
      </c>
    </row>
    <row r="67" spans="1:11" ht="15.75" x14ac:dyDescent="0.25">
      <c r="A67" s="56"/>
      <c r="B67" s="56"/>
      <c r="C67" s="56"/>
      <c r="D67" s="27" t="s">
        <v>569</v>
      </c>
      <c r="E67" s="65"/>
      <c r="F67" s="57"/>
      <c r="G67" s="1">
        <v>4075.11</v>
      </c>
      <c r="H67" s="1">
        <v>0</v>
      </c>
      <c r="I67" s="1">
        <v>0</v>
      </c>
      <c r="J67" s="1">
        <v>0</v>
      </c>
      <c r="K67" s="1">
        <v>0</v>
      </c>
    </row>
    <row r="68" spans="1:11" ht="31.5" x14ac:dyDescent="0.25">
      <c r="A68" s="56"/>
      <c r="B68" s="56"/>
      <c r="C68" s="56"/>
      <c r="D68" s="20" t="s">
        <v>512</v>
      </c>
      <c r="E68" s="8" t="s">
        <v>514</v>
      </c>
      <c r="F68" s="9" t="s">
        <v>504</v>
      </c>
      <c r="G68" s="10">
        <v>911</v>
      </c>
      <c r="H68" s="10">
        <v>881</v>
      </c>
      <c r="I68" s="10">
        <v>881</v>
      </c>
      <c r="J68" s="10">
        <v>881</v>
      </c>
      <c r="K68" s="10">
        <v>881</v>
      </c>
    </row>
    <row r="69" spans="1:11" ht="63" x14ac:dyDescent="0.25">
      <c r="A69" s="56"/>
      <c r="B69" s="56"/>
      <c r="C69" s="56"/>
      <c r="D69" s="8" t="s">
        <v>575</v>
      </c>
      <c r="E69" s="23" t="s">
        <v>15</v>
      </c>
      <c r="F69" s="24" t="s">
        <v>7</v>
      </c>
      <c r="G69" s="1">
        <v>125276.86</v>
      </c>
      <c r="H69" s="1">
        <v>232699.6</v>
      </c>
      <c r="I69" s="1">
        <v>179689.9</v>
      </c>
      <c r="J69" s="1">
        <v>136709.20000000001</v>
      </c>
      <c r="K69" s="1">
        <v>136021.1</v>
      </c>
    </row>
    <row r="70" spans="1:11" ht="55.5" customHeight="1" x14ac:dyDescent="0.25">
      <c r="A70" s="56"/>
      <c r="B70" s="56"/>
      <c r="C70" s="56"/>
      <c r="D70" s="20" t="s">
        <v>512</v>
      </c>
      <c r="E70" s="8" t="s">
        <v>515</v>
      </c>
      <c r="F70" s="9" t="s">
        <v>504</v>
      </c>
      <c r="G70" s="10">
        <f>2047+452</f>
        <v>2499</v>
      </c>
      <c r="H70" s="10">
        <v>2576</v>
      </c>
      <c r="I70" s="10">
        <v>2576</v>
      </c>
      <c r="J70" s="10">
        <v>2576</v>
      </c>
      <c r="K70" s="10">
        <v>2576</v>
      </c>
    </row>
    <row r="71" spans="1:11" ht="37.5" customHeight="1" x14ac:dyDescent="0.25">
      <c r="A71" s="56"/>
      <c r="B71" s="56"/>
      <c r="C71" s="56"/>
      <c r="D71" s="8" t="s">
        <v>577</v>
      </c>
      <c r="E71" s="64" t="s">
        <v>15</v>
      </c>
      <c r="F71" s="55" t="s">
        <v>7</v>
      </c>
      <c r="G71" s="1">
        <v>7047</v>
      </c>
      <c r="H71" s="1">
        <v>15504.1</v>
      </c>
      <c r="I71" s="1">
        <v>12106.1</v>
      </c>
      <c r="J71" s="1">
        <v>9059</v>
      </c>
      <c r="K71" s="1">
        <v>8063.2</v>
      </c>
    </row>
    <row r="72" spans="1:11" ht="22.5" customHeight="1" x14ac:dyDescent="0.25">
      <c r="A72" s="56"/>
      <c r="B72" s="56"/>
      <c r="C72" s="56"/>
      <c r="D72" s="8" t="s">
        <v>576</v>
      </c>
      <c r="E72" s="71"/>
      <c r="F72" s="56"/>
      <c r="G72" s="1">
        <v>32340.73</v>
      </c>
      <c r="H72" s="1">
        <v>0</v>
      </c>
      <c r="I72" s="1">
        <v>0</v>
      </c>
      <c r="J72" s="1">
        <v>0</v>
      </c>
      <c r="K72" s="1">
        <v>0</v>
      </c>
    </row>
    <row r="73" spans="1:11" ht="22.5" customHeight="1" x14ac:dyDescent="0.25">
      <c r="A73" s="56"/>
      <c r="B73" s="56"/>
      <c r="C73" s="56"/>
      <c r="D73" s="8" t="s">
        <v>593</v>
      </c>
      <c r="E73" s="71"/>
      <c r="F73" s="56"/>
      <c r="G73" s="1">
        <v>11557.94</v>
      </c>
      <c r="H73" s="1">
        <v>62587.9</v>
      </c>
      <c r="I73" s="1">
        <v>53532.800000000003</v>
      </c>
      <c r="J73" s="1">
        <v>40059.699999999997</v>
      </c>
      <c r="K73" s="1">
        <v>39401.800000000003</v>
      </c>
    </row>
    <row r="74" spans="1:11" ht="22.5" customHeight="1" x14ac:dyDescent="0.25">
      <c r="A74" s="56"/>
      <c r="B74" s="56"/>
      <c r="C74" s="56"/>
      <c r="D74" s="8" t="s">
        <v>569</v>
      </c>
      <c r="E74" s="71"/>
      <c r="F74" s="56"/>
      <c r="G74" s="1">
        <v>2971.5</v>
      </c>
      <c r="H74" s="1">
        <v>0</v>
      </c>
      <c r="I74" s="1">
        <v>0</v>
      </c>
      <c r="J74" s="1">
        <v>0</v>
      </c>
      <c r="K74" s="1">
        <v>0</v>
      </c>
    </row>
    <row r="75" spans="1:11" ht="22.5" customHeight="1" x14ac:dyDescent="0.25">
      <c r="A75" s="56"/>
      <c r="B75" s="56"/>
      <c r="C75" s="56"/>
      <c r="D75" s="8" t="s">
        <v>591</v>
      </c>
      <c r="E75" s="65"/>
      <c r="F75" s="57"/>
      <c r="G75" s="1">
        <v>742.87</v>
      </c>
      <c r="H75" s="1">
        <v>5802.7</v>
      </c>
      <c r="I75" s="1">
        <v>5497.9</v>
      </c>
      <c r="J75" s="1">
        <v>4195.3</v>
      </c>
      <c r="K75" s="1">
        <v>4182.8</v>
      </c>
    </row>
    <row r="76" spans="1:11" ht="31.5" x14ac:dyDescent="0.25">
      <c r="A76" s="56"/>
      <c r="B76" s="56"/>
      <c r="C76" s="56"/>
      <c r="D76" s="20" t="s">
        <v>512</v>
      </c>
      <c r="E76" s="8" t="s">
        <v>516</v>
      </c>
      <c r="F76" s="9" t="s">
        <v>504</v>
      </c>
      <c r="G76" s="10">
        <v>43</v>
      </c>
      <c r="H76" s="10">
        <v>41</v>
      </c>
      <c r="I76" s="10">
        <v>41</v>
      </c>
      <c r="J76" s="10">
        <v>41</v>
      </c>
      <c r="K76" s="10">
        <v>41</v>
      </c>
    </row>
    <row r="77" spans="1:11" ht="63" x14ac:dyDescent="0.25">
      <c r="A77" s="56"/>
      <c r="B77" s="56"/>
      <c r="C77" s="56"/>
      <c r="D77" s="8" t="s">
        <v>575</v>
      </c>
      <c r="E77" s="23" t="s">
        <v>15</v>
      </c>
      <c r="F77" s="24" t="s">
        <v>7</v>
      </c>
      <c r="G77" s="1">
        <v>571.67999999999995</v>
      </c>
      <c r="H77" s="1">
        <v>1609.5</v>
      </c>
      <c r="I77" s="1">
        <v>1242.8000000000002</v>
      </c>
      <c r="J77" s="1">
        <v>945.6</v>
      </c>
      <c r="K77" s="1">
        <v>940.8</v>
      </c>
    </row>
    <row r="78" spans="1:11" ht="63" x14ac:dyDescent="0.25">
      <c r="A78" s="56"/>
      <c r="B78" s="56"/>
      <c r="C78" s="56"/>
      <c r="D78" s="20" t="s">
        <v>512</v>
      </c>
      <c r="E78" s="8" t="s">
        <v>517</v>
      </c>
      <c r="F78" s="9" t="s">
        <v>504</v>
      </c>
      <c r="G78" s="10">
        <v>24</v>
      </c>
      <c r="H78" s="10">
        <v>24</v>
      </c>
      <c r="I78" s="10">
        <v>24</v>
      </c>
      <c r="J78" s="10">
        <v>24</v>
      </c>
      <c r="K78" s="10">
        <v>24</v>
      </c>
    </row>
    <row r="79" spans="1:11" ht="63" x14ac:dyDescent="0.25">
      <c r="A79" s="56"/>
      <c r="B79" s="56"/>
      <c r="C79" s="56"/>
      <c r="D79" s="8" t="s">
        <v>574</v>
      </c>
      <c r="E79" s="23" t="s">
        <v>15</v>
      </c>
      <c r="F79" s="24" t="s">
        <v>7</v>
      </c>
      <c r="G79" s="1">
        <v>286.36</v>
      </c>
      <c r="H79" s="1">
        <v>386.2</v>
      </c>
      <c r="I79" s="1">
        <v>310.7</v>
      </c>
      <c r="J79" s="1">
        <v>235</v>
      </c>
      <c r="K79" s="1">
        <v>232.9</v>
      </c>
    </row>
    <row r="80" spans="1:11" ht="31.5" x14ac:dyDescent="0.25">
      <c r="A80" s="56"/>
      <c r="B80" s="56"/>
      <c r="C80" s="56"/>
      <c r="D80" s="20" t="s">
        <v>512</v>
      </c>
      <c r="E80" s="8" t="s">
        <v>518</v>
      </c>
      <c r="F80" s="9" t="s">
        <v>504</v>
      </c>
      <c r="G80" s="10">
        <f>170+41</f>
        <v>211</v>
      </c>
      <c r="H80" s="10">
        <v>116</v>
      </c>
      <c r="I80" s="10">
        <v>116</v>
      </c>
      <c r="J80" s="10">
        <v>116</v>
      </c>
      <c r="K80" s="10">
        <v>116</v>
      </c>
    </row>
    <row r="81" spans="1:11" ht="32.25" customHeight="1" x14ac:dyDescent="0.25">
      <c r="A81" s="56"/>
      <c r="B81" s="56"/>
      <c r="C81" s="56"/>
      <c r="D81" s="8" t="s">
        <v>574</v>
      </c>
      <c r="E81" s="64" t="s">
        <v>15</v>
      </c>
      <c r="F81" s="55" t="s">
        <v>7</v>
      </c>
      <c r="G81" s="1">
        <v>31.29</v>
      </c>
      <c r="H81" s="1">
        <v>0</v>
      </c>
      <c r="I81" s="1">
        <v>0</v>
      </c>
      <c r="J81" s="1">
        <v>0</v>
      </c>
      <c r="K81" s="1">
        <v>0</v>
      </c>
    </row>
    <row r="82" spans="1:11" ht="20.25" customHeight="1" x14ac:dyDescent="0.25">
      <c r="A82" s="56"/>
      <c r="B82" s="56"/>
      <c r="C82" s="56"/>
      <c r="D82" s="8" t="s">
        <v>591</v>
      </c>
      <c r="E82" s="71"/>
      <c r="F82" s="56"/>
      <c r="G82" s="1">
        <v>31.29</v>
      </c>
      <c r="H82" s="1">
        <v>49.4</v>
      </c>
      <c r="I82" s="1">
        <v>46.8</v>
      </c>
      <c r="J82" s="1">
        <v>35.700000000000003</v>
      </c>
      <c r="K82" s="1">
        <v>35.6</v>
      </c>
    </row>
    <row r="83" spans="1:11" ht="21" customHeight="1" x14ac:dyDescent="0.25">
      <c r="A83" s="56"/>
      <c r="B83" s="56"/>
      <c r="C83" s="56"/>
      <c r="D83" s="8" t="s">
        <v>578</v>
      </c>
      <c r="E83" s="65"/>
      <c r="F83" s="57"/>
      <c r="G83" s="1">
        <v>0</v>
      </c>
      <c r="H83" s="1">
        <v>0</v>
      </c>
      <c r="I83" s="1">
        <v>0</v>
      </c>
      <c r="J83" s="1">
        <v>0</v>
      </c>
      <c r="K83" s="1">
        <v>0</v>
      </c>
    </row>
    <row r="84" spans="1:11" ht="63" x14ac:dyDescent="0.25">
      <c r="A84" s="56"/>
      <c r="B84" s="56"/>
      <c r="C84" s="56"/>
      <c r="D84" s="20" t="s">
        <v>512</v>
      </c>
      <c r="E84" s="8" t="s">
        <v>519</v>
      </c>
      <c r="F84" s="9" t="s">
        <v>504</v>
      </c>
      <c r="G84" s="10">
        <f>283+94</f>
        <v>377</v>
      </c>
      <c r="H84" s="10">
        <v>228</v>
      </c>
      <c r="I84" s="10">
        <v>228</v>
      </c>
      <c r="J84" s="10">
        <v>228</v>
      </c>
      <c r="K84" s="10">
        <v>228</v>
      </c>
    </row>
    <row r="85" spans="1:11" ht="37.5" customHeight="1" x14ac:dyDescent="0.25">
      <c r="A85" s="56"/>
      <c r="B85" s="56"/>
      <c r="C85" s="56"/>
      <c r="D85" s="8" t="s">
        <v>579</v>
      </c>
      <c r="E85" s="64" t="s">
        <v>15</v>
      </c>
      <c r="F85" s="55" t="s">
        <v>7</v>
      </c>
      <c r="G85" s="1">
        <v>650</v>
      </c>
      <c r="H85" s="1">
        <v>0</v>
      </c>
      <c r="I85" s="1">
        <v>0</v>
      </c>
      <c r="J85" s="1">
        <v>0</v>
      </c>
      <c r="K85" s="1">
        <v>0</v>
      </c>
    </row>
    <row r="86" spans="1:11" ht="18.75" customHeight="1" x14ac:dyDescent="0.25">
      <c r="A86" s="56"/>
      <c r="B86" s="56"/>
      <c r="C86" s="56"/>
      <c r="D86" s="8" t="s">
        <v>593</v>
      </c>
      <c r="E86" s="71"/>
      <c r="F86" s="56"/>
      <c r="G86" s="1">
        <v>334</v>
      </c>
      <c r="H86" s="1">
        <v>1878.7</v>
      </c>
      <c r="I86" s="1">
        <v>1606.9</v>
      </c>
      <c r="J86" s="1">
        <v>1202.5</v>
      </c>
      <c r="K86" s="1">
        <v>1182.7</v>
      </c>
    </row>
    <row r="87" spans="1:11" ht="25.5" customHeight="1" x14ac:dyDescent="0.25">
      <c r="A87" s="56"/>
      <c r="B87" s="56"/>
      <c r="C87" s="56"/>
      <c r="D87" s="8" t="s">
        <v>569</v>
      </c>
      <c r="E87" s="71"/>
      <c r="F87" s="56"/>
      <c r="G87" s="1">
        <v>19.940000000000001</v>
      </c>
      <c r="H87" s="1">
        <v>0</v>
      </c>
      <c r="I87" s="1">
        <v>0</v>
      </c>
      <c r="J87" s="1">
        <v>0</v>
      </c>
      <c r="K87" s="1">
        <v>0</v>
      </c>
    </row>
    <row r="88" spans="1:11" ht="25.5" customHeight="1" x14ac:dyDescent="0.25">
      <c r="A88" s="57"/>
      <c r="B88" s="56"/>
      <c r="C88" s="57"/>
      <c r="D88" s="8" t="s">
        <v>591</v>
      </c>
      <c r="E88" s="65"/>
      <c r="F88" s="57"/>
      <c r="G88" s="1">
        <v>4.9000000000000004</v>
      </c>
      <c r="H88" s="1">
        <v>31.4</v>
      </c>
      <c r="I88" s="1">
        <v>29.8</v>
      </c>
      <c r="J88" s="1">
        <v>22.8</v>
      </c>
      <c r="K88" s="1">
        <v>22.7</v>
      </c>
    </row>
    <row r="89" spans="1:11" ht="117" customHeight="1" x14ac:dyDescent="0.25">
      <c r="A89" s="55" t="s">
        <v>828</v>
      </c>
      <c r="B89" s="56"/>
      <c r="C89" s="55" t="s">
        <v>521</v>
      </c>
      <c r="D89" s="20" t="s">
        <v>520</v>
      </c>
      <c r="E89" s="8" t="s">
        <v>522</v>
      </c>
      <c r="F89" s="9" t="s">
        <v>68</v>
      </c>
      <c r="G89" s="10">
        <f>9360+27</f>
        <v>9387</v>
      </c>
      <c r="H89" s="10">
        <v>9300</v>
      </c>
      <c r="I89" s="10">
        <v>9300</v>
      </c>
      <c r="J89" s="10">
        <v>9300</v>
      </c>
      <c r="K89" s="10">
        <v>9300</v>
      </c>
    </row>
    <row r="90" spans="1:11" ht="48" customHeight="1" x14ac:dyDescent="0.25">
      <c r="A90" s="56"/>
      <c r="B90" s="56"/>
      <c r="C90" s="56"/>
      <c r="D90" s="8" t="s">
        <v>827</v>
      </c>
      <c r="E90" s="64" t="s">
        <v>15</v>
      </c>
      <c r="F90" s="55" t="s">
        <v>7</v>
      </c>
      <c r="G90" s="1">
        <v>9586.73</v>
      </c>
      <c r="H90" s="1">
        <v>14612</v>
      </c>
      <c r="I90" s="1">
        <v>12078.8</v>
      </c>
      <c r="J90" s="1">
        <v>9045.2000000000007</v>
      </c>
      <c r="K90" s="1">
        <v>8901.1</v>
      </c>
    </row>
    <row r="91" spans="1:11" ht="24" customHeight="1" x14ac:dyDescent="0.25">
      <c r="A91" s="56"/>
      <c r="B91" s="56"/>
      <c r="C91" s="56"/>
      <c r="D91" s="8" t="s">
        <v>592</v>
      </c>
      <c r="E91" s="65"/>
      <c r="F91" s="57"/>
      <c r="G91" s="1">
        <v>1614.88</v>
      </c>
      <c r="H91" s="1">
        <v>0</v>
      </c>
      <c r="I91" s="1">
        <v>0</v>
      </c>
      <c r="J91" s="1">
        <v>0</v>
      </c>
      <c r="K91" s="1">
        <v>0</v>
      </c>
    </row>
    <row r="92" spans="1:11" ht="63" x14ac:dyDescent="0.25">
      <c r="A92" s="56"/>
      <c r="B92" s="56"/>
      <c r="C92" s="56"/>
      <c r="D92" s="20" t="s">
        <v>520</v>
      </c>
      <c r="E92" s="8" t="s">
        <v>523</v>
      </c>
      <c r="F92" s="9" t="s">
        <v>22</v>
      </c>
      <c r="G92" s="10">
        <v>696</v>
      </c>
      <c r="H92" s="10">
        <v>529</v>
      </c>
      <c r="I92" s="10">
        <v>529</v>
      </c>
      <c r="J92" s="10">
        <v>529</v>
      </c>
      <c r="K92" s="10">
        <v>529</v>
      </c>
    </row>
    <row r="93" spans="1:11" ht="53.25" customHeight="1" x14ac:dyDescent="0.25">
      <c r="A93" s="56"/>
      <c r="B93" s="56"/>
      <c r="C93" s="26"/>
      <c r="D93" s="8" t="s">
        <v>1112</v>
      </c>
      <c r="E93" s="64" t="s">
        <v>15</v>
      </c>
      <c r="F93" s="55" t="s">
        <v>7</v>
      </c>
      <c r="G93" s="1">
        <v>13389.6</v>
      </c>
      <c r="H93" s="1">
        <v>25955.9</v>
      </c>
      <c r="I93" s="1">
        <v>19281.8</v>
      </c>
      <c r="J93" s="1">
        <v>14339.3</v>
      </c>
      <c r="K93" s="1">
        <v>14041.7</v>
      </c>
    </row>
    <row r="94" spans="1:11" ht="22.5" customHeight="1" x14ac:dyDescent="0.25">
      <c r="A94" s="57"/>
      <c r="B94" s="56"/>
      <c r="C94" s="26"/>
      <c r="D94" s="27" t="s">
        <v>592</v>
      </c>
      <c r="E94" s="65"/>
      <c r="F94" s="57"/>
      <c r="G94" s="1">
        <v>0</v>
      </c>
      <c r="H94" s="1">
        <v>5623.2</v>
      </c>
      <c r="I94" s="1">
        <v>5538.8</v>
      </c>
      <c r="J94" s="1">
        <v>4197.2</v>
      </c>
      <c r="K94" s="1">
        <v>3827.2</v>
      </c>
    </row>
    <row r="95" spans="1:11" ht="31.5" x14ac:dyDescent="0.25">
      <c r="A95" s="55" t="s">
        <v>829</v>
      </c>
      <c r="B95" s="56"/>
      <c r="C95" s="55" t="s">
        <v>526</v>
      </c>
      <c r="D95" s="8" t="s">
        <v>525</v>
      </c>
      <c r="E95" s="8" t="s">
        <v>524</v>
      </c>
      <c r="F95" s="9" t="s">
        <v>504</v>
      </c>
      <c r="G95" s="10">
        <v>8290</v>
      </c>
      <c r="H95" s="10">
        <v>16400</v>
      </c>
      <c r="I95" s="10">
        <v>16400</v>
      </c>
      <c r="J95" s="10">
        <v>16400</v>
      </c>
      <c r="K95" s="10">
        <v>16400</v>
      </c>
    </row>
    <row r="96" spans="1:11" ht="38.25" customHeight="1" x14ac:dyDescent="0.25">
      <c r="A96" s="56"/>
      <c r="B96" s="56"/>
      <c r="C96" s="56"/>
      <c r="D96" s="8" t="s">
        <v>588</v>
      </c>
      <c r="E96" s="64" t="s">
        <v>15</v>
      </c>
      <c r="F96" s="55" t="s">
        <v>7</v>
      </c>
      <c r="G96" s="1">
        <v>7439.45</v>
      </c>
      <c r="H96" s="1">
        <v>0</v>
      </c>
      <c r="I96" s="1">
        <v>0</v>
      </c>
      <c r="J96" s="1">
        <v>0</v>
      </c>
      <c r="K96" s="1">
        <v>0</v>
      </c>
    </row>
    <row r="97" spans="1:11" ht="15.75" x14ac:dyDescent="0.25">
      <c r="A97" s="56"/>
      <c r="B97" s="56"/>
      <c r="C97" s="56"/>
      <c r="D97" s="8" t="s">
        <v>589</v>
      </c>
      <c r="E97" s="71"/>
      <c r="F97" s="56"/>
      <c r="G97" s="1">
        <v>329.7</v>
      </c>
      <c r="H97" s="1">
        <v>0</v>
      </c>
      <c r="I97" s="1">
        <v>0</v>
      </c>
      <c r="J97" s="1">
        <v>0</v>
      </c>
      <c r="K97" s="1">
        <v>0</v>
      </c>
    </row>
    <row r="98" spans="1:11" ht="15.75" x14ac:dyDescent="0.25">
      <c r="A98" s="57"/>
      <c r="B98" s="56"/>
      <c r="C98" s="57"/>
      <c r="D98" s="8" t="s">
        <v>578</v>
      </c>
      <c r="E98" s="65"/>
      <c r="F98" s="57"/>
      <c r="G98" s="1">
        <v>2699.14</v>
      </c>
      <c r="H98" s="1">
        <v>34441.300000000003</v>
      </c>
      <c r="I98" s="1">
        <v>31734.2</v>
      </c>
      <c r="J98" s="1">
        <v>24688.3</v>
      </c>
      <c r="K98" s="1">
        <v>24935.599999999999</v>
      </c>
    </row>
    <row r="99" spans="1:11" ht="35.25" customHeight="1" x14ac:dyDescent="0.25">
      <c r="A99" s="55" t="s">
        <v>830</v>
      </c>
      <c r="B99" s="56"/>
      <c r="C99" s="55" t="s">
        <v>528</v>
      </c>
      <c r="D99" s="8" t="s">
        <v>527</v>
      </c>
      <c r="E99" s="8" t="s">
        <v>529</v>
      </c>
      <c r="F99" s="9" t="s">
        <v>504</v>
      </c>
      <c r="G99" s="10">
        <v>332216</v>
      </c>
      <c r="H99" s="10">
        <v>373874</v>
      </c>
      <c r="I99" s="10">
        <v>373874</v>
      </c>
      <c r="J99" s="10">
        <v>373874</v>
      </c>
      <c r="K99" s="10">
        <v>373874</v>
      </c>
    </row>
    <row r="100" spans="1:11" ht="69" customHeight="1" x14ac:dyDescent="0.25">
      <c r="A100" s="57"/>
      <c r="B100" s="56"/>
      <c r="C100" s="57"/>
      <c r="D100" s="8" t="s">
        <v>580</v>
      </c>
      <c r="E100" s="23" t="s">
        <v>15</v>
      </c>
      <c r="F100" s="24" t="s">
        <v>7</v>
      </c>
      <c r="G100" s="1">
        <v>19395.43</v>
      </c>
      <c r="H100" s="1">
        <v>24376.6</v>
      </c>
      <c r="I100" s="1">
        <v>20189.5</v>
      </c>
      <c r="J100" s="1">
        <v>15240.4</v>
      </c>
      <c r="K100" s="1">
        <v>15081.9</v>
      </c>
    </row>
    <row r="101" spans="1:11" ht="141.75" x14ac:dyDescent="0.25">
      <c r="A101" s="55" t="s">
        <v>831</v>
      </c>
      <c r="B101" s="56"/>
      <c r="C101" s="55" t="s">
        <v>530</v>
      </c>
      <c r="D101" s="20" t="s">
        <v>532</v>
      </c>
      <c r="E101" s="8" t="s">
        <v>531</v>
      </c>
      <c r="F101" s="9" t="s">
        <v>504</v>
      </c>
      <c r="G101" s="10">
        <v>13</v>
      </c>
      <c r="H101" s="10">
        <v>13</v>
      </c>
      <c r="I101" s="10">
        <v>14</v>
      </c>
      <c r="J101" s="10">
        <v>14</v>
      </c>
      <c r="K101" s="10">
        <v>14</v>
      </c>
    </row>
    <row r="102" spans="1:11" ht="63" x14ac:dyDescent="0.25">
      <c r="A102" s="56"/>
      <c r="B102" s="56"/>
      <c r="C102" s="56"/>
      <c r="D102" s="8" t="s">
        <v>580</v>
      </c>
      <c r="E102" s="23" t="s">
        <v>15</v>
      </c>
      <c r="F102" s="24" t="s">
        <v>7</v>
      </c>
      <c r="G102" s="1">
        <v>966.18</v>
      </c>
      <c r="H102" s="1">
        <v>1600.2</v>
      </c>
      <c r="I102" s="1">
        <v>1325.3</v>
      </c>
      <c r="J102" s="1">
        <v>1000.5</v>
      </c>
      <c r="K102" s="1">
        <v>990</v>
      </c>
    </row>
    <row r="103" spans="1:11" ht="119.25" customHeight="1" x14ac:dyDescent="0.25">
      <c r="A103" s="56"/>
      <c r="B103" s="56"/>
      <c r="C103" s="56"/>
      <c r="D103" s="20" t="s">
        <v>532</v>
      </c>
      <c r="E103" s="8" t="s">
        <v>533</v>
      </c>
      <c r="F103" s="9" t="s">
        <v>504</v>
      </c>
      <c r="G103" s="10">
        <v>169</v>
      </c>
      <c r="H103" s="10">
        <v>154</v>
      </c>
      <c r="I103" s="10">
        <v>154</v>
      </c>
      <c r="J103" s="10">
        <v>154</v>
      </c>
      <c r="K103" s="10">
        <v>154</v>
      </c>
    </row>
    <row r="104" spans="1:11" ht="119.25" customHeight="1" x14ac:dyDescent="0.25">
      <c r="A104" s="56"/>
      <c r="B104" s="56"/>
      <c r="C104" s="56"/>
      <c r="D104" s="8" t="s">
        <v>580</v>
      </c>
      <c r="E104" s="23" t="s">
        <v>15</v>
      </c>
      <c r="F104" s="24" t="s">
        <v>7</v>
      </c>
      <c r="G104" s="1">
        <v>15701.369999999999</v>
      </c>
      <c r="H104" s="1">
        <v>16787.5</v>
      </c>
      <c r="I104" s="1">
        <v>13903.9</v>
      </c>
      <c r="J104" s="1">
        <v>10495.6</v>
      </c>
      <c r="K104" s="1">
        <v>10386.5</v>
      </c>
    </row>
    <row r="105" spans="1:11" ht="47.25" x14ac:dyDescent="0.25">
      <c r="A105" s="56"/>
      <c r="B105" s="56"/>
      <c r="C105" s="56"/>
      <c r="D105" s="20" t="s">
        <v>532</v>
      </c>
      <c r="E105" s="8" t="s">
        <v>534</v>
      </c>
      <c r="F105" s="9" t="s">
        <v>504</v>
      </c>
      <c r="G105" s="10">
        <v>44</v>
      </c>
      <c r="H105" s="10">
        <v>44</v>
      </c>
      <c r="I105" s="10">
        <v>44</v>
      </c>
      <c r="J105" s="10">
        <v>44</v>
      </c>
      <c r="K105" s="10">
        <v>44</v>
      </c>
    </row>
    <row r="106" spans="1:11" ht="63" x14ac:dyDescent="0.25">
      <c r="A106" s="56"/>
      <c r="B106" s="56"/>
      <c r="C106" s="56"/>
      <c r="D106" s="8" t="s">
        <v>580</v>
      </c>
      <c r="E106" s="23" t="s">
        <v>15</v>
      </c>
      <c r="F106" s="24" t="s">
        <v>7</v>
      </c>
      <c r="G106" s="1">
        <v>3216.92</v>
      </c>
      <c r="H106" s="1">
        <v>3518.1</v>
      </c>
      <c r="I106" s="1">
        <v>2913.8</v>
      </c>
      <c r="J106" s="1">
        <v>2199.5</v>
      </c>
      <c r="K106" s="1">
        <v>2176.6999999999998</v>
      </c>
    </row>
    <row r="107" spans="1:11" ht="95.25" customHeight="1" x14ac:dyDescent="0.25">
      <c r="A107" s="56"/>
      <c r="B107" s="56"/>
      <c r="C107" s="56"/>
      <c r="D107" s="20" t="s">
        <v>532</v>
      </c>
      <c r="E107" s="8" t="s">
        <v>535</v>
      </c>
      <c r="F107" s="9" t="s">
        <v>504</v>
      </c>
      <c r="G107" s="10">
        <v>352</v>
      </c>
      <c r="H107" s="10">
        <v>226</v>
      </c>
      <c r="I107" s="10">
        <v>226</v>
      </c>
      <c r="J107" s="10">
        <v>226</v>
      </c>
      <c r="K107" s="10">
        <v>226</v>
      </c>
    </row>
    <row r="108" spans="1:11" ht="38.25" customHeight="1" x14ac:dyDescent="0.25">
      <c r="A108" s="56"/>
      <c r="B108" s="56"/>
      <c r="C108" s="56"/>
      <c r="D108" s="8" t="s">
        <v>565</v>
      </c>
      <c r="E108" s="23" t="s">
        <v>15</v>
      </c>
      <c r="F108" s="24" t="s">
        <v>7</v>
      </c>
      <c r="G108" s="1">
        <v>24988.720000000001</v>
      </c>
      <c r="H108" s="1">
        <v>46932.6</v>
      </c>
      <c r="I108" s="1">
        <v>38871.1</v>
      </c>
      <c r="J108" s="1">
        <v>29342.5</v>
      </c>
      <c r="K108" s="1">
        <v>29037.3</v>
      </c>
    </row>
    <row r="109" spans="1:11" ht="112.5" customHeight="1" x14ac:dyDescent="0.25">
      <c r="A109" s="56"/>
      <c r="B109" s="56"/>
      <c r="C109" s="56"/>
      <c r="D109" s="20" t="s">
        <v>532</v>
      </c>
      <c r="E109" s="8" t="s">
        <v>536</v>
      </c>
      <c r="F109" s="9" t="s">
        <v>504</v>
      </c>
      <c r="G109" s="10">
        <v>17</v>
      </c>
      <c r="H109" s="10">
        <v>17</v>
      </c>
      <c r="I109" s="10">
        <v>17</v>
      </c>
      <c r="J109" s="10">
        <v>17</v>
      </c>
      <c r="K109" s="10">
        <v>17</v>
      </c>
    </row>
    <row r="110" spans="1:11" ht="68.25" customHeight="1" x14ac:dyDescent="0.25">
      <c r="A110" s="56"/>
      <c r="B110" s="56"/>
      <c r="C110" s="56"/>
      <c r="D110" s="8" t="s">
        <v>580</v>
      </c>
      <c r="E110" s="23" t="s">
        <v>15</v>
      </c>
      <c r="F110" s="24" t="s">
        <v>7</v>
      </c>
      <c r="G110" s="1">
        <v>1110.75</v>
      </c>
      <c r="H110" s="1">
        <v>4738.3</v>
      </c>
      <c r="I110" s="1">
        <v>3924.4</v>
      </c>
      <c r="J110" s="1">
        <v>2962.4</v>
      </c>
      <c r="K110" s="1">
        <v>2931.6</v>
      </c>
    </row>
    <row r="111" spans="1:11" ht="63" x14ac:dyDescent="0.25">
      <c r="A111" s="56"/>
      <c r="B111" s="56"/>
      <c r="C111" s="56"/>
      <c r="D111" s="20" t="s">
        <v>532</v>
      </c>
      <c r="E111" s="8" t="s">
        <v>540</v>
      </c>
      <c r="F111" s="9" t="s">
        <v>504</v>
      </c>
      <c r="G111" s="10">
        <v>325</v>
      </c>
      <c r="H111" s="10">
        <v>321</v>
      </c>
      <c r="I111" s="10">
        <v>321</v>
      </c>
      <c r="J111" s="10">
        <v>321</v>
      </c>
      <c r="K111" s="10">
        <v>321</v>
      </c>
    </row>
    <row r="112" spans="1:11" ht="63" x14ac:dyDescent="0.25">
      <c r="A112" s="57"/>
      <c r="B112" s="56"/>
      <c r="C112" s="57"/>
      <c r="D112" s="8" t="s">
        <v>563</v>
      </c>
      <c r="E112" s="23" t="s">
        <v>15</v>
      </c>
      <c r="F112" s="24" t="s">
        <v>7</v>
      </c>
      <c r="G112" s="1">
        <v>41874.06</v>
      </c>
      <c r="H112" s="1">
        <v>40398.400000000001</v>
      </c>
      <c r="I112" s="1">
        <v>33459.300000000003</v>
      </c>
      <c r="J112" s="1">
        <v>25257.4</v>
      </c>
      <c r="K112" s="1">
        <v>24994.5</v>
      </c>
    </row>
    <row r="113" spans="1:11" ht="99" customHeight="1" x14ac:dyDescent="0.25">
      <c r="A113" s="55" t="s">
        <v>832</v>
      </c>
      <c r="B113" s="56"/>
      <c r="C113" s="55" t="s">
        <v>539</v>
      </c>
      <c r="D113" s="8" t="s">
        <v>537</v>
      </c>
      <c r="E113" s="8" t="s">
        <v>538</v>
      </c>
      <c r="F113" s="9" t="s">
        <v>504</v>
      </c>
      <c r="G113" s="10">
        <f>234+80</f>
        <v>314</v>
      </c>
      <c r="H113" s="10">
        <v>408</v>
      </c>
      <c r="I113" s="10">
        <v>408</v>
      </c>
      <c r="J113" s="10">
        <v>408</v>
      </c>
      <c r="K113" s="10">
        <v>408</v>
      </c>
    </row>
    <row r="114" spans="1:11" ht="37.5" customHeight="1" x14ac:dyDescent="0.25">
      <c r="A114" s="56"/>
      <c r="B114" s="56"/>
      <c r="C114" s="56"/>
      <c r="D114" s="8" t="s">
        <v>587</v>
      </c>
      <c r="E114" s="64" t="s">
        <v>15</v>
      </c>
      <c r="F114" s="55" t="s">
        <v>7</v>
      </c>
      <c r="G114" s="1">
        <v>16810.52</v>
      </c>
      <c r="H114" s="1">
        <v>5527.5</v>
      </c>
      <c r="I114" s="1">
        <v>4578.1000000000004</v>
      </c>
      <c r="J114" s="1">
        <v>3455.8</v>
      </c>
      <c r="K114" s="1">
        <v>3419.9</v>
      </c>
    </row>
    <row r="115" spans="1:11" ht="32.25" customHeight="1" x14ac:dyDescent="0.25">
      <c r="A115" s="57"/>
      <c r="B115" s="56"/>
      <c r="C115" s="57"/>
      <c r="D115" s="8" t="s">
        <v>564</v>
      </c>
      <c r="E115" s="65"/>
      <c r="F115" s="57"/>
      <c r="G115" s="1">
        <v>11786.57</v>
      </c>
      <c r="H115" s="1">
        <v>12785.9</v>
      </c>
      <c r="I115" s="1">
        <v>12216.3</v>
      </c>
      <c r="J115" s="1">
        <v>9297.3000000000011</v>
      </c>
      <c r="K115" s="1">
        <v>9252.6</v>
      </c>
    </row>
    <row r="116" spans="1:11" ht="31.5" x14ac:dyDescent="0.25">
      <c r="A116" s="55" t="s">
        <v>833</v>
      </c>
      <c r="B116" s="56"/>
      <c r="C116" s="55" t="s">
        <v>46</v>
      </c>
      <c r="D116" s="8" t="s">
        <v>542</v>
      </c>
      <c r="E116" s="8" t="s">
        <v>541</v>
      </c>
      <c r="F116" s="9" t="s">
        <v>61</v>
      </c>
      <c r="G116" s="10">
        <v>12</v>
      </c>
      <c r="H116" s="10">
        <v>12</v>
      </c>
      <c r="I116" s="10">
        <v>12</v>
      </c>
      <c r="J116" s="10">
        <v>12</v>
      </c>
      <c r="K116" s="10">
        <v>12</v>
      </c>
    </row>
    <row r="117" spans="1:11" ht="63" x14ac:dyDescent="0.25">
      <c r="A117" s="56"/>
      <c r="B117" s="56"/>
      <c r="C117" s="56"/>
      <c r="D117" s="8" t="s">
        <v>581</v>
      </c>
      <c r="E117" s="23" t="s">
        <v>15</v>
      </c>
      <c r="F117" s="24" t="s">
        <v>7</v>
      </c>
      <c r="G117" s="1">
        <v>6108.32</v>
      </c>
      <c r="H117" s="1">
        <v>4453.7</v>
      </c>
      <c r="I117" s="1">
        <v>3788.8</v>
      </c>
      <c r="J117" s="1">
        <v>2847.2</v>
      </c>
      <c r="K117" s="1">
        <v>2808.7</v>
      </c>
    </row>
    <row r="118" spans="1:11" ht="31.5" x14ac:dyDescent="0.25">
      <c r="A118" s="56"/>
      <c r="B118" s="56"/>
      <c r="C118" s="56"/>
      <c r="D118" s="8" t="s">
        <v>542</v>
      </c>
      <c r="E118" s="8" t="s">
        <v>1114</v>
      </c>
      <c r="F118" s="9" t="s">
        <v>1113</v>
      </c>
      <c r="G118" s="10">
        <v>0</v>
      </c>
      <c r="H118" s="10">
        <v>4</v>
      </c>
      <c r="I118" s="10">
        <v>4</v>
      </c>
      <c r="J118" s="10">
        <v>4</v>
      </c>
      <c r="K118" s="10">
        <v>4</v>
      </c>
    </row>
    <row r="119" spans="1:11" ht="63" x14ac:dyDescent="0.25">
      <c r="A119" s="57"/>
      <c r="B119" s="56"/>
      <c r="C119" s="57"/>
      <c r="D119" s="8" t="s">
        <v>581</v>
      </c>
      <c r="E119" s="8" t="s">
        <v>15</v>
      </c>
      <c r="F119" s="9" t="s">
        <v>6</v>
      </c>
      <c r="G119" s="1">
        <v>0</v>
      </c>
      <c r="H119" s="1">
        <v>1908.7</v>
      </c>
      <c r="I119" s="1">
        <v>1623.7</v>
      </c>
      <c r="J119" s="1">
        <v>1220.2</v>
      </c>
      <c r="K119" s="1">
        <v>1203.7</v>
      </c>
    </row>
    <row r="120" spans="1:11" ht="31.5" x14ac:dyDescent="0.25">
      <c r="A120" s="55" t="s">
        <v>834</v>
      </c>
      <c r="B120" s="56"/>
      <c r="C120" s="55" t="s">
        <v>150</v>
      </c>
      <c r="D120" s="8" t="s">
        <v>153</v>
      </c>
      <c r="E120" s="8" t="s">
        <v>245</v>
      </c>
      <c r="F120" s="9" t="s">
        <v>22</v>
      </c>
      <c r="G120" s="10">
        <v>3</v>
      </c>
      <c r="H120" s="10">
        <v>3</v>
      </c>
      <c r="I120" s="10">
        <v>3</v>
      </c>
      <c r="J120" s="10">
        <v>3</v>
      </c>
      <c r="K120" s="10">
        <v>3</v>
      </c>
    </row>
    <row r="121" spans="1:11" ht="63" x14ac:dyDescent="0.25">
      <c r="A121" s="57"/>
      <c r="B121" s="56"/>
      <c r="C121" s="57"/>
      <c r="D121" s="8" t="s">
        <v>581</v>
      </c>
      <c r="E121" s="23" t="s">
        <v>15</v>
      </c>
      <c r="F121" s="24" t="s">
        <v>7</v>
      </c>
      <c r="G121" s="1">
        <v>18741.849999999999</v>
      </c>
      <c r="H121" s="1">
        <v>21621.5</v>
      </c>
      <c r="I121" s="1">
        <v>18393.5</v>
      </c>
      <c r="J121" s="1">
        <v>13822.3</v>
      </c>
      <c r="K121" s="1">
        <v>13635.6</v>
      </c>
    </row>
    <row r="122" spans="1:11" ht="38.25" customHeight="1" x14ac:dyDescent="0.25">
      <c r="A122" s="55" t="s">
        <v>835</v>
      </c>
      <c r="B122" s="56"/>
      <c r="C122" s="55" t="s">
        <v>543</v>
      </c>
      <c r="D122" s="8" t="s">
        <v>271</v>
      </c>
      <c r="E122" s="8" t="s">
        <v>544</v>
      </c>
      <c r="F122" s="9" t="s">
        <v>22</v>
      </c>
      <c r="G122" s="10">
        <v>2</v>
      </c>
      <c r="H122" s="10">
        <v>2</v>
      </c>
      <c r="I122" s="10">
        <v>2</v>
      </c>
      <c r="J122" s="10">
        <v>2</v>
      </c>
      <c r="K122" s="10">
        <v>2</v>
      </c>
    </row>
    <row r="123" spans="1:11" ht="71.25" customHeight="1" x14ac:dyDescent="0.25">
      <c r="A123" s="57"/>
      <c r="B123" s="56"/>
      <c r="C123" s="57"/>
      <c r="D123" s="8" t="s">
        <v>581</v>
      </c>
      <c r="E123" s="23" t="s">
        <v>15</v>
      </c>
      <c r="F123" s="24" t="s">
        <v>7</v>
      </c>
      <c r="G123" s="1">
        <v>3557.39</v>
      </c>
      <c r="H123" s="1">
        <v>4151.8</v>
      </c>
      <c r="I123" s="1">
        <v>3532</v>
      </c>
      <c r="J123" s="1">
        <v>2654.1</v>
      </c>
      <c r="K123" s="1">
        <v>2618.4</v>
      </c>
    </row>
    <row r="124" spans="1:11" ht="31.5" customHeight="1" x14ac:dyDescent="0.25">
      <c r="A124" s="55" t="s">
        <v>836</v>
      </c>
      <c r="B124" s="56"/>
      <c r="C124" s="55" t="s">
        <v>545</v>
      </c>
      <c r="D124" s="64" t="s">
        <v>546</v>
      </c>
      <c r="E124" s="8" t="s">
        <v>395</v>
      </c>
      <c r="F124" s="9" t="s">
        <v>22</v>
      </c>
      <c r="G124" s="10">
        <v>1</v>
      </c>
      <c r="H124" s="10">
        <v>1</v>
      </c>
      <c r="I124" s="10">
        <v>1</v>
      </c>
      <c r="J124" s="10">
        <v>1</v>
      </c>
      <c r="K124" s="10">
        <v>1</v>
      </c>
    </row>
    <row r="125" spans="1:11" ht="18" customHeight="1" x14ac:dyDescent="0.25">
      <c r="A125" s="56"/>
      <c r="B125" s="56"/>
      <c r="C125" s="56"/>
      <c r="D125" s="88"/>
      <c r="E125" s="8" t="s">
        <v>370</v>
      </c>
      <c r="F125" s="9" t="s">
        <v>61</v>
      </c>
      <c r="G125" s="10">
        <v>2149</v>
      </c>
      <c r="H125" s="10">
        <v>2215</v>
      </c>
      <c r="I125" s="10">
        <v>2215</v>
      </c>
      <c r="J125" s="10">
        <v>2215</v>
      </c>
      <c r="K125" s="10">
        <v>2215</v>
      </c>
    </row>
    <row r="126" spans="1:11" ht="63" customHeight="1" x14ac:dyDescent="0.25">
      <c r="A126" s="57"/>
      <c r="B126" s="56"/>
      <c r="C126" s="57"/>
      <c r="D126" s="8" t="s">
        <v>582</v>
      </c>
      <c r="E126" s="23" t="s">
        <v>15</v>
      </c>
      <c r="F126" s="24" t="s">
        <v>7</v>
      </c>
      <c r="G126" s="1">
        <v>4359.3</v>
      </c>
      <c r="H126" s="1">
        <v>6461.4</v>
      </c>
      <c r="I126" s="1">
        <v>5331.3</v>
      </c>
      <c r="J126" s="1">
        <v>3972.1</v>
      </c>
      <c r="K126" s="1">
        <v>3894.7</v>
      </c>
    </row>
    <row r="127" spans="1:11" ht="32.25" customHeight="1" x14ac:dyDescent="0.25">
      <c r="A127" s="55" t="s">
        <v>837</v>
      </c>
      <c r="B127" s="56"/>
      <c r="C127" s="55" t="s">
        <v>547</v>
      </c>
      <c r="D127" s="64" t="s">
        <v>550</v>
      </c>
      <c r="E127" s="8" t="s">
        <v>548</v>
      </c>
      <c r="F127" s="9" t="s">
        <v>504</v>
      </c>
      <c r="G127" s="10">
        <v>19138</v>
      </c>
      <c r="H127" s="10">
        <v>19140</v>
      </c>
      <c r="I127" s="10">
        <v>19140</v>
      </c>
      <c r="J127" s="10">
        <v>19140</v>
      </c>
      <c r="K127" s="10">
        <v>19140</v>
      </c>
    </row>
    <row r="128" spans="1:11" ht="28.5" customHeight="1" x14ac:dyDescent="0.25">
      <c r="A128" s="56"/>
      <c r="B128" s="56"/>
      <c r="C128" s="56"/>
      <c r="D128" s="88"/>
      <c r="E128" s="8" t="s">
        <v>549</v>
      </c>
      <c r="F128" s="9" t="s">
        <v>504</v>
      </c>
      <c r="G128" s="10">
        <v>4033</v>
      </c>
      <c r="H128" s="10">
        <v>4040</v>
      </c>
      <c r="I128" s="10">
        <v>4040</v>
      </c>
      <c r="J128" s="10">
        <v>4040</v>
      </c>
      <c r="K128" s="10">
        <v>4040</v>
      </c>
    </row>
    <row r="129" spans="1:11" ht="63" x14ac:dyDescent="0.25">
      <c r="A129" s="57"/>
      <c r="B129" s="56"/>
      <c r="C129" s="57"/>
      <c r="D129" s="8" t="s">
        <v>583</v>
      </c>
      <c r="E129" s="23" t="s">
        <v>15</v>
      </c>
      <c r="F129" s="24" t="s">
        <v>7</v>
      </c>
      <c r="G129" s="1">
        <v>53907.72</v>
      </c>
      <c r="H129" s="1">
        <v>113802.9</v>
      </c>
      <c r="I129" s="1">
        <v>100128.8</v>
      </c>
      <c r="J129" s="1">
        <v>74686.600000000006</v>
      </c>
      <c r="K129" s="1">
        <v>73292.399999999994</v>
      </c>
    </row>
    <row r="130" spans="1:11" ht="33.75" customHeight="1" x14ac:dyDescent="0.25">
      <c r="A130" s="55" t="s">
        <v>838</v>
      </c>
      <c r="B130" s="56"/>
      <c r="C130" s="55" t="s">
        <v>552</v>
      </c>
      <c r="D130" s="8" t="s">
        <v>553</v>
      </c>
      <c r="E130" s="8" t="s">
        <v>551</v>
      </c>
      <c r="F130" s="9" t="s">
        <v>61</v>
      </c>
      <c r="G130" s="10">
        <v>3172</v>
      </c>
      <c r="H130" s="10">
        <v>3000</v>
      </c>
      <c r="I130" s="10">
        <v>3000</v>
      </c>
      <c r="J130" s="10">
        <v>3000</v>
      </c>
      <c r="K130" s="10">
        <v>3000</v>
      </c>
    </row>
    <row r="131" spans="1:11" ht="33.75" customHeight="1" x14ac:dyDescent="0.25">
      <c r="A131" s="56"/>
      <c r="B131" s="56"/>
      <c r="C131" s="56"/>
      <c r="D131" s="8" t="s">
        <v>596</v>
      </c>
      <c r="E131" s="64" t="s">
        <v>15</v>
      </c>
      <c r="F131" s="55" t="s">
        <v>7</v>
      </c>
      <c r="G131" s="1">
        <v>3359.28</v>
      </c>
      <c r="H131" s="1">
        <v>0</v>
      </c>
      <c r="I131" s="1">
        <v>0</v>
      </c>
      <c r="J131" s="1">
        <v>0</v>
      </c>
      <c r="K131" s="1">
        <v>0</v>
      </c>
    </row>
    <row r="132" spans="1:11" ht="80.25" customHeight="1" x14ac:dyDescent="0.25">
      <c r="A132" s="57"/>
      <c r="B132" s="56"/>
      <c r="C132" s="57"/>
      <c r="D132" s="8" t="s">
        <v>595</v>
      </c>
      <c r="E132" s="65"/>
      <c r="F132" s="57"/>
      <c r="G132" s="1">
        <v>1362.64</v>
      </c>
      <c r="H132" s="1">
        <v>7609.2</v>
      </c>
      <c r="I132" s="1">
        <v>6508.3</v>
      </c>
      <c r="J132" s="1">
        <v>4870.2</v>
      </c>
      <c r="K132" s="1">
        <v>4790.4000000000005</v>
      </c>
    </row>
    <row r="133" spans="1:11" ht="15.75" x14ac:dyDescent="0.25">
      <c r="A133" s="55" t="s">
        <v>839</v>
      </c>
      <c r="B133" s="56"/>
      <c r="C133" s="55" t="s">
        <v>554</v>
      </c>
      <c r="D133" s="64" t="s">
        <v>557</v>
      </c>
      <c r="E133" s="8" t="s">
        <v>555</v>
      </c>
      <c r="F133" s="9" t="s">
        <v>22</v>
      </c>
      <c r="G133" s="10">
        <f>26031+600</f>
        <v>26631</v>
      </c>
      <c r="H133" s="10">
        <v>24000</v>
      </c>
      <c r="I133" s="10">
        <v>24000</v>
      </c>
      <c r="J133" s="10">
        <v>24000</v>
      </c>
      <c r="K133" s="10">
        <v>24000</v>
      </c>
    </row>
    <row r="134" spans="1:11" ht="15.75" x14ac:dyDescent="0.25">
      <c r="A134" s="56"/>
      <c r="B134" s="56"/>
      <c r="C134" s="56"/>
      <c r="D134" s="88"/>
      <c r="E134" s="8" t="s">
        <v>556</v>
      </c>
      <c r="F134" s="9" t="s">
        <v>22</v>
      </c>
      <c r="G134" s="10">
        <v>2219</v>
      </c>
      <c r="H134" s="10">
        <v>2200</v>
      </c>
      <c r="I134" s="10">
        <v>2200</v>
      </c>
      <c r="J134" s="10">
        <v>2200</v>
      </c>
      <c r="K134" s="10">
        <v>2200</v>
      </c>
    </row>
    <row r="135" spans="1:11" ht="43.5" customHeight="1" x14ac:dyDescent="0.25">
      <c r="A135" s="56"/>
      <c r="B135" s="56"/>
      <c r="C135" s="56"/>
      <c r="D135" s="8" t="s">
        <v>583</v>
      </c>
      <c r="E135" s="64" t="s">
        <v>15</v>
      </c>
      <c r="F135" s="55" t="s">
        <v>7</v>
      </c>
      <c r="G135" s="1">
        <v>36096.14</v>
      </c>
      <c r="H135" s="1">
        <v>17895.3</v>
      </c>
      <c r="I135" s="1">
        <v>15745.1</v>
      </c>
      <c r="J135" s="1">
        <v>11744.3</v>
      </c>
      <c r="K135" s="1">
        <v>11525.1</v>
      </c>
    </row>
    <row r="136" spans="1:11" ht="15.75" x14ac:dyDescent="0.25">
      <c r="A136" s="56"/>
      <c r="B136" s="56"/>
      <c r="C136" s="56"/>
      <c r="D136" s="8" t="s">
        <v>584</v>
      </c>
      <c r="E136" s="71"/>
      <c r="F136" s="56"/>
      <c r="G136" s="1">
        <v>3669.18</v>
      </c>
      <c r="H136" s="1">
        <v>0</v>
      </c>
      <c r="I136" s="1">
        <v>0</v>
      </c>
      <c r="J136" s="1">
        <v>0</v>
      </c>
      <c r="K136" s="1">
        <v>0</v>
      </c>
    </row>
    <row r="137" spans="1:11" ht="15.75" x14ac:dyDescent="0.25">
      <c r="A137" s="57"/>
      <c r="B137" s="56"/>
      <c r="C137" s="57"/>
      <c r="D137" s="8" t="s">
        <v>594</v>
      </c>
      <c r="E137" s="65"/>
      <c r="F137" s="57"/>
      <c r="G137" s="1">
        <v>908.92</v>
      </c>
      <c r="H137" s="1">
        <v>0</v>
      </c>
      <c r="I137" s="1">
        <v>0</v>
      </c>
      <c r="J137" s="1">
        <v>0</v>
      </c>
      <c r="K137" s="1">
        <v>0</v>
      </c>
    </row>
    <row r="138" spans="1:11" ht="75" customHeight="1" x14ac:dyDescent="0.25">
      <c r="A138" s="61" t="s">
        <v>559</v>
      </c>
      <c r="B138" s="62"/>
      <c r="C138" s="62"/>
      <c r="D138" s="63"/>
      <c r="E138" s="13" t="s">
        <v>16</v>
      </c>
      <c r="F138" s="14" t="s">
        <v>7</v>
      </c>
      <c r="G138" s="15">
        <f>G137+G136+G135+G132+G129+G126+G123+G121+G117+G115+G114+G112+G110+G108+G106+G104+G102+G100+G98+G97+G131+G96+G93+G91+G90+G88+G87+G86+G85+G83+G82+G81+G79+G77+G75+G74+G73+G72+G71+G69+G67+G66+G65+G63+G61+G59+G58+G57+G55+G54+G50+G49+G46+G45+G43+G42+G39+G38+G36+G35+G32+G31+G29+G28+G51+G53+G119+G94+G52+G44+G37+G30</f>
        <v>629687.55999999971</v>
      </c>
      <c r="H138" s="15">
        <f>H137+H136+H135+H132+H129+H126+H123+H121+H117+H115+H114+H112+H110+H108+H106+H104+H102+H100+H98+H97+H131+H96+H93+H91+H90+H88+H87+H86+H85+H83+H82+H81+H79+H77+H75+H74+H73+H72+H71+H69+H67+H66+H65+H63+H61+H59+H58+H57+H55+H54+H50+H49+H46+H45+H43+H42+H39+H38+H36+H35+H32+H31+H29+H28+H51+H53+H119+H94+H52+H44+H37+H30</f>
        <v>972367.50000000023</v>
      </c>
      <c r="I138" s="15">
        <f t="shared" ref="I138:K138" si="3">I137+I136+I135+I132+I129+I126+I123+I121+I117+I115+I114+I112+I110+I108+I106+I104+I102+I100+I98+I97+I131+I96+I93+I91+I90+I88+I87+I86+I85+I83+I82+I81+I79+I77+I75+I74+I73+I72+I71+I69+I67+I66+I65+I63+I61+I59+I58+I57+I55+I54+I50+I49+I46+I45+I43+I42+I39+I38+I36+I35+I32+I31+I29+I28+I51+I53+I119+I94+I52+I44+I37+I30</f>
        <v>803768.1</v>
      </c>
      <c r="J138" s="15">
        <f t="shared" si="3"/>
        <v>606121.19999999995</v>
      </c>
      <c r="K138" s="15">
        <f t="shared" si="3"/>
        <v>592363.1</v>
      </c>
    </row>
    <row r="139" spans="1:11" ht="63" x14ac:dyDescent="0.25">
      <c r="A139" s="58" t="s">
        <v>560</v>
      </c>
      <c r="B139" s="59"/>
      <c r="C139" s="59"/>
      <c r="D139" s="60"/>
      <c r="E139" s="16" t="s">
        <v>16</v>
      </c>
      <c r="F139" s="17" t="s">
        <v>7</v>
      </c>
      <c r="G139" s="18">
        <f>G138</f>
        <v>629687.55999999971</v>
      </c>
      <c r="H139" s="18">
        <f>H138</f>
        <v>972367.50000000023</v>
      </c>
      <c r="I139" s="18">
        <f>I138</f>
        <v>803768.1</v>
      </c>
      <c r="J139" s="18">
        <f t="shared" ref="J139:K139" si="4">J138</f>
        <v>606121.19999999995</v>
      </c>
      <c r="K139" s="18">
        <f t="shared" si="4"/>
        <v>592363.1</v>
      </c>
    </row>
    <row r="140" spans="1:11" ht="15.75" customHeight="1" x14ac:dyDescent="0.25">
      <c r="A140" s="16" t="s">
        <v>840</v>
      </c>
      <c r="B140" s="66" t="s">
        <v>318</v>
      </c>
      <c r="C140" s="67"/>
      <c r="D140" s="67"/>
      <c r="E140" s="67"/>
      <c r="F140" s="67"/>
      <c r="G140" s="67"/>
      <c r="H140" s="67"/>
      <c r="I140" s="67"/>
      <c r="J140" s="67"/>
      <c r="K140" s="68"/>
    </row>
    <row r="141" spans="1:11" ht="30.75" customHeight="1" x14ac:dyDescent="0.25">
      <c r="A141" s="78" t="s">
        <v>841</v>
      </c>
      <c r="B141" s="55" t="s">
        <v>1093</v>
      </c>
      <c r="C141" s="75" t="s">
        <v>320</v>
      </c>
      <c r="D141" s="8" t="s">
        <v>1194</v>
      </c>
      <c r="E141" s="8" t="s">
        <v>321</v>
      </c>
      <c r="F141" s="9" t="s">
        <v>68</v>
      </c>
      <c r="G141" s="10">
        <f>18016+26512</f>
        <v>44528</v>
      </c>
      <c r="H141" s="10">
        <f>16120+43426</f>
        <v>59546</v>
      </c>
      <c r="I141" s="10">
        <f>13541+36478</f>
        <v>50019</v>
      </c>
      <c r="J141" s="10">
        <f>10607+28574</f>
        <v>39181</v>
      </c>
      <c r="K141" s="10">
        <f>10446+28140</f>
        <v>38586</v>
      </c>
    </row>
    <row r="142" spans="1:11" ht="46.5" customHeight="1" x14ac:dyDescent="0.25">
      <c r="A142" s="79"/>
      <c r="B142" s="56"/>
      <c r="C142" s="76"/>
      <c r="D142" s="8" t="s">
        <v>481</v>
      </c>
      <c r="E142" s="64" t="s">
        <v>15</v>
      </c>
      <c r="F142" s="55" t="s">
        <v>7</v>
      </c>
      <c r="G142" s="1">
        <v>12700</v>
      </c>
      <c r="H142" s="1">
        <v>19688</v>
      </c>
      <c r="I142" s="1">
        <v>16537.919999999998</v>
      </c>
      <c r="J142" s="1">
        <v>12954.7</v>
      </c>
      <c r="K142" s="1">
        <v>12757.82</v>
      </c>
    </row>
    <row r="143" spans="1:11" ht="15.75" x14ac:dyDescent="0.25">
      <c r="A143" s="79"/>
      <c r="B143" s="56"/>
      <c r="C143" s="76"/>
      <c r="D143" s="8" t="s">
        <v>472</v>
      </c>
      <c r="E143" s="65"/>
      <c r="F143" s="57"/>
      <c r="G143" s="1">
        <v>19354</v>
      </c>
      <c r="H143" s="1">
        <v>24316.46</v>
      </c>
      <c r="I143" s="1">
        <v>20425.830000000002</v>
      </c>
      <c r="J143" s="1">
        <v>16000.23</v>
      </c>
      <c r="K143" s="1">
        <v>15757.07</v>
      </c>
    </row>
    <row r="144" spans="1:11" ht="31.5" x14ac:dyDescent="0.25">
      <c r="A144" s="79"/>
      <c r="B144" s="56"/>
      <c r="C144" s="76"/>
      <c r="D144" s="8" t="s">
        <v>1194</v>
      </c>
      <c r="E144" s="8" t="s">
        <v>322</v>
      </c>
      <c r="F144" s="9" t="s">
        <v>68</v>
      </c>
      <c r="G144" s="10">
        <f>11150+1150</f>
        <v>12300</v>
      </c>
      <c r="H144" s="10">
        <f>20187+3041</f>
        <v>23228</v>
      </c>
      <c r="I144" s="10">
        <f>16957+2554</f>
        <v>19511</v>
      </c>
      <c r="J144" s="10">
        <f>13283+2001</f>
        <v>15284</v>
      </c>
      <c r="K144" s="10">
        <f>13081+1971</f>
        <v>15052</v>
      </c>
    </row>
    <row r="145" spans="1:11" ht="36" customHeight="1" x14ac:dyDescent="0.25">
      <c r="A145" s="79"/>
      <c r="B145" s="56"/>
      <c r="C145" s="76"/>
      <c r="D145" s="8" t="s">
        <v>494</v>
      </c>
      <c r="E145" s="64" t="s">
        <v>15</v>
      </c>
      <c r="F145" s="55" t="s">
        <v>7</v>
      </c>
      <c r="G145" s="1">
        <v>5463.5</v>
      </c>
      <c r="H145" s="1">
        <v>8599.6620000000003</v>
      </c>
      <c r="I145" s="1">
        <v>7223.72</v>
      </c>
      <c r="J145" s="1">
        <v>5658.58</v>
      </c>
      <c r="K145" s="1">
        <v>5572.58</v>
      </c>
    </row>
    <row r="146" spans="1:11" ht="24.75" customHeight="1" x14ac:dyDescent="0.25">
      <c r="A146" s="79"/>
      <c r="B146" s="56"/>
      <c r="C146" s="76"/>
      <c r="D146" s="8" t="s">
        <v>472</v>
      </c>
      <c r="E146" s="65"/>
      <c r="F146" s="57"/>
      <c r="G146" s="1">
        <v>1978</v>
      </c>
      <c r="H146" s="1">
        <v>1712.08</v>
      </c>
      <c r="I146" s="1">
        <v>1438.15</v>
      </c>
      <c r="J146" s="1">
        <v>1126.55</v>
      </c>
      <c r="K146" s="1">
        <v>1109.43</v>
      </c>
    </row>
    <row r="147" spans="1:11" ht="31.5" x14ac:dyDescent="0.25">
      <c r="A147" s="79"/>
      <c r="B147" s="56"/>
      <c r="C147" s="76"/>
      <c r="D147" s="8" t="s">
        <v>1194</v>
      </c>
      <c r="E147" s="8" t="s">
        <v>323</v>
      </c>
      <c r="F147" s="9" t="s">
        <v>68</v>
      </c>
      <c r="G147" s="10">
        <v>3100</v>
      </c>
      <c r="H147" s="10" t="s">
        <v>165</v>
      </c>
      <c r="I147" s="10" t="s">
        <v>165</v>
      </c>
      <c r="J147" s="10" t="s">
        <v>165</v>
      </c>
      <c r="K147" s="10" t="s">
        <v>165</v>
      </c>
    </row>
    <row r="148" spans="1:11" ht="63" x14ac:dyDescent="0.25">
      <c r="A148" s="80"/>
      <c r="B148" s="56"/>
      <c r="C148" s="77"/>
      <c r="D148" s="8" t="s">
        <v>473</v>
      </c>
      <c r="E148" s="8" t="s">
        <v>15</v>
      </c>
      <c r="F148" s="9" t="s">
        <v>7</v>
      </c>
      <c r="G148" s="1">
        <v>1178</v>
      </c>
      <c r="H148" s="1">
        <v>0</v>
      </c>
      <c r="I148" s="1">
        <v>0</v>
      </c>
      <c r="J148" s="1">
        <v>0</v>
      </c>
      <c r="K148" s="1">
        <v>0</v>
      </c>
    </row>
    <row r="149" spans="1:11" ht="47.25" customHeight="1" x14ac:dyDescent="0.25">
      <c r="A149" s="55" t="s">
        <v>842</v>
      </c>
      <c r="B149" s="56"/>
      <c r="C149" s="75" t="s">
        <v>325</v>
      </c>
      <c r="D149" s="8" t="s">
        <v>1195</v>
      </c>
      <c r="E149" s="8" t="s">
        <v>321</v>
      </c>
      <c r="F149" s="9" t="s">
        <v>68</v>
      </c>
      <c r="G149" s="10">
        <v>25659</v>
      </c>
      <c r="H149" s="10">
        <f>14933+9767</f>
        <v>24700</v>
      </c>
      <c r="I149" s="10">
        <f>12544+8204</f>
        <v>20748</v>
      </c>
      <c r="J149" s="10">
        <f>9826+6427</f>
        <v>16253</v>
      </c>
      <c r="K149" s="10">
        <f>9677+6329</f>
        <v>16006</v>
      </c>
    </row>
    <row r="150" spans="1:11" ht="49.5" customHeight="1" x14ac:dyDescent="0.25">
      <c r="A150" s="56"/>
      <c r="B150" s="56"/>
      <c r="C150" s="76"/>
      <c r="D150" s="8" t="s">
        <v>482</v>
      </c>
      <c r="E150" s="64" t="s">
        <v>15</v>
      </c>
      <c r="F150" s="55" t="s">
        <v>7</v>
      </c>
      <c r="G150" s="1">
        <v>44133.479999999996</v>
      </c>
      <c r="H150" s="1">
        <v>4971.46</v>
      </c>
      <c r="I150" s="1">
        <v>4176.0200000000004</v>
      </c>
      <c r="J150" s="1">
        <v>3271.22</v>
      </c>
      <c r="K150" s="1">
        <v>3221.5</v>
      </c>
    </row>
    <row r="151" spans="1:11" ht="15.75" x14ac:dyDescent="0.25">
      <c r="A151" s="56"/>
      <c r="B151" s="56"/>
      <c r="C151" s="76"/>
      <c r="D151" s="8" t="s">
        <v>472</v>
      </c>
      <c r="E151" s="65"/>
      <c r="F151" s="57"/>
      <c r="G151" s="1">
        <v>0</v>
      </c>
      <c r="H151" s="1">
        <v>1412.84</v>
      </c>
      <c r="I151" s="1">
        <v>1186.79</v>
      </c>
      <c r="J151" s="1">
        <v>929.65</v>
      </c>
      <c r="K151" s="1">
        <v>915.52</v>
      </c>
    </row>
    <row r="152" spans="1:11" ht="31.5" x14ac:dyDescent="0.25">
      <c r="A152" s="56"/>
      <c r="B152" s="56"/>
      <c r="C152" s="76"/>
      <c r="D152" s="8" t="s">
        <v>1195</v>
      </c>
      <c r="E152" s="8" t="s">
        <v>322</v>
      </c>
      <c r="F152" s="9" t="s">
        <v>68</v>
      </c>
      <c r="G152" s="10">
        <v>32746</v>
      </c>
      <c r="H152" s="10">
        <f>25425+8858</f>
        <v>34283</v>
      </c>
      <c r="I152" s="10">
        <f>21357+7441</f>
        <v>28798</v>
      </c>
      <c r="J152" s="10">
        <f>16730+5829</f>
        <v>22559</v>
      </c>
      <c r="K152" s="10">
        <f>16475+5740</f>
        <v>22215</v>
      </c>
    </row>
    <row r="153" spans="1:11" ht="50.25" customHeight="1" x14ac:dyDescent="0.25">
      <c r="A153" s="56"/>
      <c r="B153" s="56"/>
      <c r="C153" s="76"/>
      <c r="D153" s="8" t="s">
        <v>482</v>
      </c>
      <c r="E153" s="64" t="s">
        <v>15</v>
      </c>
      <c r="F153" s="55" t="s">
        <v>7</v>
      </c>
      <c r="G153" s="1">
        <v>64895.26</v>
      </c>
      <c r="H153" s="1">
        <v>47217.27</v>
      </c>
      <c r="I153" s="1">
        <v>39662.51</v>
      </c>
      <c r="J153" s="1">
        <v>31068.97</v>
      </c>
      <c r="K153" s="1">
        <v>30596.79</v>
      </c>
    </row>
    <row r="154" spans="1:11" ht="15.75" x14ac:dyDescent="0.25">
      <c r="A154" s="57"/>
      <c r="B154" s="56"/>
      <c r="C154" s="77"/>
      <c r="D154" s="8" t="s">
        <v>472</v>
      </c>
      <c r="E154" s="65"/>
      <c r="F154" s="57"/>
      <c r="G154" s="1">
        <v>0</v>
      </c>
      <c r="H154" s="1">
        <v>13400.57</v>
      </c>
      <c r="I154" s="1">
        <v>11256.47</v>
      </c>
      <c r="J154" s="1">
        <v>8817.57</v>
      </c>
      <c r="K154" s="1">
        <v>8683.57</v>
      </c>
    </row>
    <row r="155" spans="1:11" ht="15.75" x14ac:dyDescent="0.25">
      <c r="A155" s="78" t="s">
        <v>843</v>
      </c>
      <c r="B155" s="56"/>
      <c r="C155" s="75" t="s">
        <v>103</v>
      </c>
      <c r="D155" s="8" t="s">
        <v>1196</v>
      </c>
      <c r="E155" s="8" t="s">
        <v>326</v>
      </c>
      <c r="F155" s="9" t="s">
        <v>22</v>
      </c>
      <c r="G155" s="10">
        <f>2+2</f>
        <v>4</v>
      </c>
      <c r="H155" s="10">
        <f>7+3</f>
        <v>10</v>
      </c>
      <c r="I155" s="10">
        <f>6+3</f>
        <v>9</v>
      </c>
      <c r="J155" s="10">
        <f>5+2</f>
        <v>7</v>
      </c>
      <c r="K155" s="10">
        <f>5+2</f>
        <v>7</v>
      </c>
    </row>
    <row r="156" spans="1:11" ht="45" customHeight="1" x14ac:dyDescent="0.25">
      <c r="A156" s="79"/>
      <c r="B156" s="56"/>
      <c r="C156" s="76"/>
      <c r="D156" s="8" t="s">
        <v>482</v>
      </c>
      <c r="E156" s="64" t="s">
        <v>15</v>
      </c>
      <c r="F156" s="55" t="s">
        <v>6</v>
      </c>
      <c r="G156" s="1">
        <v>12213.1</v>
      </c>
      <c r="H156" s="1">
        <v>7316.76</v>
      </c>
      <c r="I156" s="1">
        <v>6146.07</v>
      </c>
      <c r="J156" s="1">
        <v>4814.43</v>
      </c>
      <c r="K156" s="1">
        <v>4741.26</v>
      </c>
    </row>
    <row r="157" spans="1:11" ht="27.75" customHeight="1" x14ac:dyDescent="0.25">
      <c r="A157" s="80"/>
      <c r="B157" s="56"/>
      <c r="C157" s="77"/>
      <c r="D157" s="8" t="s">
        <v>472</v>
      </c>
      <c r="E157" s="65"/>
      <c r="F157" s="57"/>
      <c r="G157" s="1">
        <v>22557</v>
      </c>
      <c r="H157" s="1">
        <v>27913.86</v>
      </c>
      <c r="I157" s="1">
        <v>23447.64</v>
      </c>
      <c r="J157" s="1">
        <v>18367.32</v>
      </c>
      <c r="K157" s="1">
        <v>18088.18</v>
      </c>
    </row>
    <row r="158" spans="1:11" ht="31.5" x14ac:dyDescent="0.25">
      <c r="A158" s="78" t="s">
        <v>844</v>
      </c>
      <c r="B158" s="56"/>
      <c r="C158" s="75" t="s">
        <v>96</v>
      </c>
      <c r="D158" s="8" t="s">
        <v>1196</v>
      </c>
      <c r="E158" s="8" t="s">
        <v>327</v>
      </c>
      <c r="F158" s="9" t="s">
        <v>22</v>
      </c>
      <c r="G158" s="11">
        <v>5</v>
      </c>
      <c r="H158" s="11">
        <f>12+3</f>
        <v>15</v>
      </c>
      <c r="I158" s="11">
        <f>10+3</f>
        <v>13</v>
      </c>
      <c r="J158" s="11">
        <f>8+2</f>
        <v>10</v>
      </c>
      <c r="K158" s="11">
        <f>8+2</f>
        <v>10</v>
      </c>
    </row>
    <row r="159" spans="1:11" ht="41.25" customHeight="1" x14ac:dyDescent="0.25">
      <c r="A159" s="79"/>
      <c r="B159" s="56"/>
      <c r="C159" s="76"/>
      <c r="D159" s="8" t="s">
        <v>482</v>
      </c>
      <c r="E159" s="64" t="s">
        <v>15</v>
      </c>
      <c r="F159" s="55" t="s">
        <v>7</v>
      </c>
      <c r="G159" s="1">
        <v>25891.47</v>
      </c>
      <c r="H159" s="1">
        <v>61262.43</v>
      </c>
      <c r="I159" s="1">
        <v>51460.44</v>
      </c>
      <c r="J159" s="1">
        <v>40310.68</v>
      </c>
      <c r="K159" s="1">
        <v>39698.050000000003</v>
      </c>
    </row>
    <row r="160" spans="1:11" ht="21" customHeight="1" x14ac:dyDescent="0.25">
      <c r="A160" s="79"/>
      <c r="B160" s="56"/>
      <c r="C160" s="76"/>
      <c r="D160" s="8" t="s">
        <v>472</v>
      </c>
      <c r="E160" s="65"/>
      <c r="F160" s="57"/>
      <c r="G160" s="1">
        <v>0</v>
      </c>
      <c r="H160" s="1">
        <v>46650</v>
      </c>
      <c r="I160" s="1">
        <v>39186</v>
      </c>
      <c r="J160" s="1">
        <v>30695.7</v>
      </c>
      <c r="K160" s="1">
        <v>30229.200000000001</v>
      </c>
    </row>
    <row r="161" spans="1:12" ht="31.5" x14ac:dyDescent="0.25">
      <c r="A161" s="79"/>
      <c r="B161" s="56"/>
      <c r="C161" s="76"/>
      <c r="D161" s="8" t="s">
        <v>1196</v>
      </c>
      <c r="E161" s="8" t="s">
        <v>328</v>
      </c>
      <c r="F161" s="9" t="s">
        <v>22</v>
      </c>
      <c r="G161" s="11">
        <v>3</v>
      </c>
      <c r="H161" s="11" t="s">
        <v>165</v>
      </c>
      <c r="I161" s="11" t="s">
        <v>165</v>
      </c>
      <c r="J161" s="11" t="s">
        <v>165</v>
      </c>
      <c r="K161" s="11" t="s">
        <v>165</v>
      </c>
    </row>
    <row r="162" spans="1:12" ht="63" x14ac:dyDescent="0.25">
      <c r="A162" s="80"/>
      <c r="B162" s="56"/>
      <c r="C162" s="77"/>
      <c r="D162" s="8" t="s">
        <v>473</v>
      </c>
      <c r="E162" s="8" t="s">
        <v>15</v>
      </c>
      <c r="F162" s="9" t="s">
        <v>7</v>
      </c>
      <c r="G162" s="1">
        <v>15904.02</v>
      </c>
      <c r="H162" s="1">
        <v>0</v>
      </c>
      <c r="I162" s="1">
        <v>0</v>
      </c>
      <c r="J162" s="1">
        <v>0</v>
      </c>
      <c r="K162" s="1">
        <v>0</v>
      </c>
    </row>
    <row r="163" spans="1:12" ht="36" customHeight="1" x14ac:dyDescent="0.25">
      <c r="A163" s="78" t="s">
        <v>845</v>
      </c>
      <c r="B163" s="56"/>
      <c r="C163" s="75" t="s">
        <v>330</v>
      </c>
      <c r="D163" s="8" t="s">
        <v>1197</v>
      </c>
      <c r="E163" s="8" t="s">
        <v>331</v>
      </c>
      <c r="F163" s="9" t="s">
        <v>68</v>
      </c>
      <c r="G163" s="10">
        <v>159865</v>
      </c>
      <c r="H163" s="10">
        <f>163955+44</f>
        <v>163999</v>
      </c>
      <c r="I163" s="10">
        <f>137722+37</f>
        <v>137759</v>
      </c>
      <c r="J163" s="10">
        <f>107882+29</f>
        <v>107911</v>
      </c>
      <c r="K163" s="10">
        <f>106243+29</f>
        <v>106272</v>
      </c>
    </row>
    <row r="164" spans="1:12" ht="50.25" customHeight="1" x14ac:dyDescent="0.25">
      <c r="A164" s="79"/>
      <c r="B164" s="56"/>
      <c r="C164" s="76"/>
      <c r="D164" s="8" t="s">
        <v>1182</v>
      </c>
      <c r="E164" s="64" t="s">
        <v>15</v>
      </c>
      <c r="F164" s="55" t="s">
        <v>7</v>
      </c>
      <c r="G164" s="1">
        <v>22381.100000000002</v>
      </c>
      <c r="H164" s="1">
        <v>36070.1</v>
      </c>
      <c r="I164" s="1">
        <v>30298.880000000001</v>
      </c>
      <c r="J164" s="1">
        <v>23734.13</v>
      </c>
      <c r="K164" s="1">
        <v>23373.43</v>
      </c>
    </row>
    <row r="165" spans="1:12" ht="15.75" x14ac:dyDescent="0.25">
      <c r="A165" s="79"/>
      <c r="B165" s="56"/>
      <c r="C165" s="76"/>
      <c r="D165" s="8" t="s">
        <v>1183</v>
      </c>
      <c r="E165" s="65"/>
      <c r="F165" s="57"/>
      <c r="G165" s="1">
        <v>0</v>
      </c>
      <c r="H165" s="1">
        <v>2376</v>
      </c>
      <c r="I165" s="1">
        <v>1995.84</v>
      </c>
      <c r="J165" s="1">
        <v>1563.41</v>
      </c>
      <c r="K165" s="1">
        <v>1539.65</v>
      </c>
    </row>
    <row r="166" spans="1:12" ht="31.5" x14ac:dyDescent="0.25">
      <c r="A166" s="79"/>
      <c r="B166" s="56"/>
      <c r="C166" s="76"/>
      <c r="D166" s="8" t="s">
        <v>1197</v>
      </c>
      <c r="E166" s="8" t="s">
        <v>332</v>
      </c>
      <c r="F166" s="9" t="s">
        <v>68</v>
      </c>
      <c r="G166" s="10">
        <v>5382</v>
      </c>
      <c r="H166" s="10">
        <v>4800</v>
      </c>
      <c r="I166" s="10">
        <v>4032</v>
      </c>
      <c r="J166" s="10">
        <v>3158</v>
      </c>
      <c r="K166" s="10">
        <v>3110</v>
      </c>
    </row>
    <row r="167" spans="1:12" ht="63" x14ac:dyDescent="0.25">
      <c r="A167" s="79"/>
      <c r="B167" s="56"/>
      <c r="C167" s="76"/>
      <c r="D167" s="8" t="s">
        <v>474</v>
      </c>
      <c r="E167" s="8" t="s">
        <v>15</v>
      </c>
      <c r="F167" s="9" t="s">
        <v>7</v>
      </c>
      <c r="G167" s="1">
        <v>4457.0600000000004</v>
      </c>
      <c r="H167" s="1">
        <v>816</v>
      </c>
      <c r="I167" s="1">
        <v>685.44</v>
      </c>
      <c r="J167" s="1">
        <v>536.92999999999995</v>
      </c>
      <c r="K167" s="1">
        <v>528.79999999999995</v>
      </c>
    </row>
    <row r="168" spans="1:12" ht="47.25" x14ac:dyDescent="0.25">
      <c r="A168" s="79"/>
      <c r="B168" s="56"/>
      <c r="C168" s="76"/>
      <c r="D168" s="8" t="s">
        <v>1197</v>
      </c>
      <c r="E168" s="8" t="s">
        <v>333</v>
      </c>
      <c r="F168" s="9" t="s">
        <v>68</v>
      </c>
      <c r="G168" s="10">
        <v>40207</v>
      </c>
      <c r="H168" s="10">
        <v>13200</v>
      </c>
      <c r="I168" s="10">
        <v>11088</v>
      </c>
      <c r="J168" s="10">
        <v>8686</v>
      </c>
      <c r="K168" s="10">
        <v>8554</v>
      </c>
    </row>
    <row r="169" spans="1:12" ht="63" x14ac:dyDescent="0.25">
      <c r="A169" s="80"/>
      <c r="B169" s="56"/>
      <c r="C169" s="77"/>
      <c r="D169" s="8" t="s">
        <v>474</v>
      </c>
      <c r="E169" s="8" t="s">
        <v>15</v>
      </c>
      <c r="F169" s="9" t="s">
        <v>7</v>
      </c>
      <c r="G169" s="1">
        <v>3618.63</v>
      </c>
      <c r="H169" s="1">
        <v>528</v>
      </c>
      <c r="I169" s="1">
        <v>443.52</v>
      </c>
      <c r="J169" s="1">
        <v>347.42</v>
      </c>
      <c r="K169" s="1">
        <v>342.14</v>
      </c>
    </row>
    <row r="170" spans="1:12" ht="78.75" customHeight="1" x14ac:dyDescent="0.25">
      <c r="A170" s="78" t="s">
        <v>846</v>
      </c>
      <c r="B170" s="56"/>
      <c r="C170" s="75" t="s">
        <v>334</v>
      </c>
      <c r="D170" s="8" t="s">
        <v>337</v>
      </c>
      <c r="E170" s="8" t="s">
        <v>335</v>
      </c>
      <c r="F170" s="9" t="s">
        <v>22</v>
      </c>
      <c r="G170" s="10">
        <v>50</v>
      </c>
      <c r="H170" s="10">
        <v>10077</v>
      </c>
      <c r="I170" s="10">
        <v>8465</v>
      </c>
      <c r="J170" s="10">
        <v>6631</v>
      </c>
      <c r="K170" s="10">
        <v>6530</v>
      </c>
    </row>
    <row r="171" spans="1:12" ht="63" x14ac:dyDescent="0.25">
      <c r="A171" s="80"/>
      <c r="B171" s="56"/>
      <c r="C171" s="77"/>
      <c r="D171" s="8" t="s">
        <v>474</v>
      </c>
      <c r="E171" s="8" t="s">
        <v>15</v>
      </c>
      <c r="F171" s="9" t="s">
        <v>7</v>
      </c>
      <c r="G171" s="1">
        <v>2462.06</v>
      </c>
      <c r="H171" s="1">
        <v>4564.46</v>
      </c>
      <c r="I171" s="1">
        <v>3834.15</v>
      </c>
      <c r="J171" s="1">
        <v>3003.42</v>
      </c>
      <c r="K171" s="1">
        <v>2957.77</v>
      </c>
      <c r="L171" s="3"/>
    </row>
    <row r="172" spans="1:12" ht="18.75" customHeight="1" x14ac:dyDescent="0.25">
      <c r="A172" s="78" t="s">
        <v>847</v>
      </c>
      <c r="B172" s="56"/>
      <c r="C172" s="75" t="s">
        <v>336</v>
      </c>
      <c r="D172" s="8" t="s">
        <v>338</v>
      </c>
      <c r="E172" s="8" t="s">
        <v>243</v>
      </c>
      <c r="F172" s="9" t="s">
        <v>22</v>
      </c>
      <c r="G172" s="10">
        <v>16041</v>
      </c>
      <c r="H172" s="10">
        <v>16136</v>
      </c>
      <c r="I172" s="10">
        <v>13554</v>
      </c>
      <c r="J172" s="10">
        <v>10617</v>
      </c>
      <c r="K172" s="10">
        <v>10456</v>
      </c>
    </row>
    <row r="173" spans="1:12" ht="63" x14ac:dyDescent="0.25">
      <c r="A173" s="80"/>
      <c r="B173" s="56"/>
      <c r="C173" s="77"/>
      <c r="D173" s="8" t="s">
        <v>474</v>
      </c>
      <c r="E173" s="8" t="s">
        <v>15</v>
      </c>
      <c r="F173" s="9" t="s">
        <v>7</v>
      </c>
      <c r="G173" s="1">
        <v>8020.5</v>
      </c>
      <c r="H173" s="1">
        <v>4405.04</v>
      </c>
      <c r="I173" s="1">
        <v>3700.23</v>
      </c>
      <c r="J173" s="1">
        <v>2898.52</v>
      </c>
      <c r="K173" s="1">
        <v>2854.47</v>
      </c>
    </row>
    <row r="174" spans="1:12" ht="22.5" customHeight="1" x14ac:dyDescent="0.25">
      <c r="A174" s="78" t="s">
        <v>848</v>
      </c>
      <c r="B174" s="56"/>
      <c r="C174" s="75" t="s">
        <v>339</v>
      </c>
      <c r="D174" s="8" t="s">
        <v>341</v>
      </c>
      <c r="E174" s="8" t="s">
        <v>244</v>
      </c>
      <c r="F174" s="9" t="s">
        <v>22</v>
      </c>
      <c r="G174" s="10">
        <v>1</v>
      </c>
      <c r="H174" s="10" t="s">
        <v>165</v>
      </c>
      <c r="I174" s="10" t="s">
        <v>165</v>
      </c>
      <c r="J174" s="10" t="s">
        <v>165</v>
      </c>
      <c r="K174" s="10" t="s">
        <v>165</v>
      </c>
    </row>
    <row r="175" spans="1:12" ht="63" x14ac:dyDescent="0.25">
      <c r="A175" s="80"/>
      <c r="B175" s="56"/>
      <c r="C175" s="77"/>
      <c r="D175" s="8" t="s">
        <v>474</v>
      </c>
      <c r="E175" s="8" t="s">
        <v>15</v>
      </c>
      <c r="F175" s="9" t="s">
        <v>7</v>
      </c>
      <c r="G175" s="1">
        <v>1968</v>
      </c>
      <c r="H175" s="1">
        <v>0</v>
      </c>
      <c r="I175" s="1">
        <v>0</v>
      </c>
      <c r="J175" s="1">
        <v>0</v>
      </c>
      <c r="K175" s="1">
        <v>0</v>
      </c>
    </row>
    <row r="176" spans="1:12" ht="21" customHeight="1" x14ac:dyDescent="0.25">
      <c r="A176" s="78" t="s">
        <v>849</v>
      </c>
      <c r="B176" s="56"/>
      <c r="C176" s="85" t="s">
        <v>340</v>
      </c>
      <c r="D176" s="8" t="s">
        <v>1198</v>
      </c>
      <c r="E176" s="8" t="s">
        <v>329</v>
      </c>
      <c r="F176" s="9" t="s">
        <v>68</v>
      </c>
      <c r="G176" s="10">
        <f>88191+46838</f>
        <v>135029</v>
      </c>
      <c r="H176" s="10">
        <f>92852+39532</f>
        <v>132384</v>
      </c>
      <c r="I176" s="10">
        <f>77996+33207</f>
        <v>111203</v>
      </c>
      <c r="J176" s="10">
        <f>61097+26012</f>
        <v>87109</v>
      </c>
      <c r="K176" s="10">
        <f>60168+25617</f>
        <v>85785</v>
      </c>
    </row>
    <row r="177" spans="1:11" ht="44.25" customHeight="1" x14ac:dyDescent="0.25">
      <c r="A177" s="79"/>
      <c r="B177" s="56"/>
      <c r="C177" s="86"/>
      <c r="D177" s="8" t="s">
        <v>495</v>
      </c>
      <c r="E177" s="64" t="s">
        <v>15</v>
      </c>
      <c r="F177" s="55" t="s">
        <v>7</v>
      </c>
      <c r="G177" s="1">
        <v>18079.7</v>
      </c>
      <c r="H177" s="1">
        <v>5571.12</v>
      </c>
      <c r="I177" s="1">
        <v>4679.74</v>
      </c>
      <c r="J177" s="1">
        <v>3665.5</v>
      </c>
      <c r="K177" s="1">
        <v>3610.08</v>
      </c>
    </row>
    <row r="178" spans="1:11" ht="18" customHeight="1" x14ac:dyDescent="0.25">
      <c r="A178" s="80"/>
      <c r="B178" s="56"/>
      <c r="C178" s="87"/>
      <c r="D178" s="8" t="s">
        <v>475</v>
      </c>
      <c r="E178" s="65"/>
      <c r="F178" s="57"/>
      <c r="G178" s="1">
        <v>11709</v>
      </c>
      <c r="H178" s="1">
        <v>2371.92</v>
      </c>
      <c r="I178" s="1">
        <v>1992.41</v>
      </c>
      <c r="J178" s="1">
        <v>1560.7</v>
      </c>
      <c r="K178" s="1">
        <v>1537</v>
      </c>
    </row>
    <row r="179" spans="1:11" ht="23.25" customHeight="1" x14ac:dyDescent="0.25">
      <c r="A179" s="78" t="s">
        <v>850</v>
      </c>
      <c r="B179" s="56"/>
      <c r="C179" s="75" t="s">
        <v>342</v>
      </c>
      <c r="D179" s="8" t="s">
        <v>344</v>
      </c>
      <c r="E179" s="8" t="s">
        <v>343</v>
      </c>
      <c r="F179" s="9" t="s">
        <v>22</v>
      </c>
      <c r="G179" s="10">
        <f>3279+400</f>
        <v>3679</v>
      </c>
      <c r="H179" s="10">
        <f>4017+1126</f>
        <v>5143</v>
      </c>
      <c r="I179" s="10">
        <f>3374+946</f>
        <v>4320</v>
      </c>
      <c r="J179" s="10">
        <f>2643+741</f>
        <v>3384</v>
      </c>
      <c r="K179" s="10">
        <f>2603+730</f>
        <v>3333</v>
      </c>
    </row>
    <row r="180" spans="1:11" ht="37.5" customHeight="1" x14ac:dyDescent="0.25">
      <c r="A180" s="79"/>
      <c r="B180" s="56"/>
      <c r="C180" s="76"/>
      <c r="D180" s="8" t="s">
        <v>476</v>
      </c>
      <c r="E180" s="64" t="s">
        <v>15</v>
      </c>
      <c r="F180" s="55" t="s">
        <v>7</v>
      </c>
      <c r="G180" s="1">
        <v>15083.4</v>
      </c>
      <c r="H180" s="1">
        <v>40757.449999999997</v>
      </c>
      <c r="I180" s="1">
        <v>34236.26</v>
      </c>
      <c r="J180" s="1">
        <v>26818.400000000001</v>
      </c>
      <c r="K180" s="1">
        <v>26410.83</v>
      </c>
    </row>
    <row r="181" spans="1:11" ht="21" customHeight="1" x14ac:dyDescent="0.25">
      <c r="A181" s="80"/>
      <c r="B181" s="56"/>
      <c r="C181" s="77"/>
      <c r="D181" s="8" t="s">
        <v>475</v>
      </c>
      <c r="E181" s="65"/>
      <c r="F181" s="57"/>
      <c r="G181" s="1">
        <v>1840</v>
      </c>
      <c r="H181" s="1">
        <v>11361.34</v>
      </c>
      <c r="I181" s="1">
        <v>9543.52</v>
      </c>
      <c r="J181" s="1">
        <v>7475.76</v>
      </c>
      <c r="K181" s="1">
        <v>7362.15</v>
      </c>
    </row>
    <row r="182" spans="1:11" ht="45.75" customHeight="1" x14ac:dyDescent="0.25">
      <c r="A182" s="55" t="s">
        <v>851</v>
      </c>
      <c r="B182" s="56"/>
      <c r="C182" s="75" t="s">
        <v>345</v>
      </c>
      <c r="D182" s="8" t="s">
        <v>347</v>
      </c>
      <c r="E182" s="8" t="s">
        <v>343</v>
      </c>
      <c r="F182" s="9" t="s">
        <v>22</v>
      </c>
      <c r="G182" s="10">
        <v>34</v>
      </c>
      <c r="H182" s="10">
        <v>19</v>
      </c>
      <c r="I182" s="10">
        <v>16</v>
      </c>
      <c r="J182" s="10">
        <v>13</v>
      </c>
      <c r="K182" s="10">
        <v>12</v>
      </c>
    </row>
    <row r="183" spans="1:11" ht="63" customHeight="1" x14ac:dyDescent="0.25">
      <c r="A183" s="56"/>
      <c r="B183" s="56"/>
      <c r="C183" s="76"/>
      <c r="D183" s="8" t="s">
        <v>1184</v>
      </c>
      <c r="E183" s="64" t="s">
        <v>15</v>
      </c>
      <c r="F183" s="55" t="s">
        <v>7</v>
      </c>
      <c r="G183" s="1">
        <v>1636.76</v>
      </c>
      <c r="H183" s="1">
        <v>0</v>
      </c>
      <c r="I183" s="1">
        <v>0</v>
      </c>
      <c r="J183" s="1">
        <v>0</v>
      </c>
      <c r="K183" s="1">
        <v>0</v>
      </c>
    </row>
    <row r="184" spans="1:11" ht="15.75" x14ac:dyDescent="0.25">
      <c r="A184" s="57"/>
      <c r="B184" s="56"/>
      <c r="C184" s="77"/>
      <c r="D184" s="8" t="s">
        <v>1185</v>
      </c>
      <c r="E184" s="65"/>
      <c r="F184" s="57"/>
      <c r="G184" s="1">
        <v>0</v>
      </c>
      <c r="H184" s="1">
        <v>960.83</v>
      </c>
      <c r="I184" s="1">
        <v>807.1</v>
      </c>
      <c r="J184" s="1">
        <v>632.23</v>
      </c>
      <c r="K184" s="1">
        <v>622.62</v>
      </c>
    </row>
    <row r="185" spans="1:11" ht="15.75" x14ac:dyDescent="0.25">
      <c r="A185" s="78" t="s">
        <v>852</v>
      </c>
      <c r="B185" s="56"/>
      <c r="C185" s="75" t="s">
        <v>346</v>
      </c>
      <c r="D185" s="8" t="s">
        <v>348</v>
      </c>
      <c r="E185" s="8" t="s">
        <v>319</v>
      </c>
      <c r="F185" s="9" t="s">
        <v>68</v>
      </c>
      <c r="G185" s="10">
        <v>128043</v>
      </c>
      <c r="H185" s="10">
        <v>245946</v>
      </c>
      <c r="I185" s="10">
        <v>206595</v>
      </c>
      <c r="J185" s="10">
        <v>161832</v>
      </c>
      <c r="K185" s="10">
        <v>159373</v>
      </c>
    </row>
    <row r="186" spans="1:11" ht="63" x14ac:dyDescent="0.25">
      <c r="A186" s="80"/>
      <c r="B186" s="56"/>
      <c r="C186" s="77"/>
      <c r="D186" s="8" t="s">
        <v>477</v>
      </c>
      <c r="E186" s="8" t="s">
        <v>15</v>
      </c>
      <c r="F186" s="9" t="s">
        <v>7</v>
      </c>
      <c r="G186" s="1">
        <v>30730.32</v>
      </c>
      <c r="H186" s="1">
        <v>30743.25</v>
      </c>
      <c r="I186" s="1">
        <v>25824.33</v>
      </c>
      <c r="J186" s="1">
        <v>20229.060000000001</v>
      </c>
      <c r="K186" s="1">
        <v>19921.63</v>
      </c>
    </row>
    <row r="187" spans="1:11" ht="21.75" customHeight="1" x14ac:dyDescent="0.25">
      <c r="A187" s="78" t="s">
        <v>853</v>
      </c>
      <c r="B187" s="56"/>
      <c r="C187" s="75" t="s">
        <v>349</v>
      </c>
      <c r="D187" s="8" t="s">
        <v>1196</v>
      </c>
      <c r="E187" s="8" t="s">
        <v>350</v>
      </c>
      <c r="F187" s="9" t="s">
        <v>22</v>
      </c>
      <c r="G187" s="10">
        <v>1954</v>
      </c>
      <c r="H187" s="10">
        <v>3500</v>
      </c>
      <c r="I187" s="10">
        <v>2940</v>
      </c>
      <c r="J187" s="10">
        <v>2303</v>
      </c>
      <c r="K187" s="10">
        <v>2268</v>
      </c>
    </row>
    <row r="188" spans="1:11" ht="63" x14ac:dyDescent="0.25">
      <c r="A188" s="80"/>
      <c r="B188" s="56"/>
      <c r="C188" s="77"/>
      <c r="D188" s="8" t="s">
        <v>477</v>
      </c>
      <c r="E188" s="8" t="s">
        <v>15</v>
      </c>
      <c r="F188" s="9" t="s">
        <v>7</v>
      </c>
      <c r="G188" s="1">
        <v>1152.8599999999999</v>
      </c>
      <c r="H188" s="1">
        <v>1680</v>
      </c>
      <c r="I188" s="1">
        <v>1411.2</v>
      </c>
      <c r="J188" s="1">
        <v>1105.44</v>
      </c>
      <c r="K188" s="1">
        <v>1088.6400000000001</v>
      </c>
    </row>
    <row r="189" spans="1:11" ht="23.25" customHeight="1" x14ac:dyDescent="0.25">
      <c r="A189" s="78" t="s">
        <v>854</v>
      </c>
      <c r="B189" s="56"/>
      <c r="C189" s="75" t="s">
        <v>351</v>
      </c>
      <c r="D189" s="8" t="s">
        <v>353</v>
      </c>
      <c r="E189" s="8" t="s">
        <v>352</v>
      </c>
      <c r="F189" s="9" t="s">
        <v>22</v>
      </c>
      <c r="G189" s="10">
        <v>11</v>
      </c>
      <c r="H189" s="10">
        <v>11</v>
      </c>
      <c r="I189" s="10">
        <v>9</v>
      </c>
      <c r="J189" s="10">
        <v>7</v>
      </c>
      <c r="K189" s="10">
        <v>7</v>
      </c>
    </row>
    <row r="190" spans="1:11" ht="63" x14ac:dyDescent="0.25">
      <c r="A190" s="80"/>
      <c r="B190" s="56"/>
      <c r="C190" s="77"/>
      <c r="D190" s="8" t="s">
        <v>473</v>
      </c>
      <c r="E190" s="8" t="s">
        <v>15</v>
      </c>
      <c r="F190" s="9" t="s">
        <v>7</v>
      </c>
      <c r="G190" s="1">
        <v>989.01</v>
      </c>
      <c r="H190" s="1">
        <v>7956.85</v>
      </c>
      <c r="I190" s="1">
        <v>6683.75</v>
      </c>
      <c r="J190" s="1">
        <v>5235.6000000000004</v>
      </c>
      <c r="K190" s="1">
        <v>5156.04</v>
      </c>
    </row>
    <row r="191" spans="1:11" ht="17.25" customHeight="1" x14ac:dyDescent="0.25">
      <c r="A191" s="78" t="s">
        <v>855</v>
      </c>
      <c r="B191" s="56"/>
      <c r="C191" s="75" t="s">
        <v>354</v>
      </c>
      <c r="D191" s="8" t="s">
        <v>357</v>
      </c>
      <c r="E191" s="8" t="s">
        <v>343</v>
      </c>
      <c r="F191" s="9" t="s">
        <v>22</v>
      </c>
      <c r="G191" s="10">
        <v>83</v>
      </c>
      <c r="H191" s="10" t="s">
        <v>165</v>
      </c>
      <c r="I191" s="10" t="s">
        <v>165</v>
      </c>
      <c r="J191" s="10" t="s">
        <v>165</v>
      </c>
      <c r="K191" s="10" t="s">
        <v>165</v>
      </c>
    </row>
    <row r="192" spans="1:11" ht="63" x14ac:dyDescent="0.25">
      <c r="A192" s="80"/>
      <c r="B192" s="56"/>
      <c r="C192" s="77"/>
      <c r="D192" s="8" t="s">
        <v>478</v>
      </c>
      <c r="E192" s="8" t="s">
        <v>15</v>
      </c>
      <c r="F192" s="9" t="s">
        <v>7</v>
      </c>
      <c r="G192" s="1">
        <v>2166.3000000000002</v>
      </c>
      <c r="H192" s="1">
        <v>0</v>
      </c>
      <c r="I192" s="1">
        <v>0</v>
      </c>
      <c r="J192" s="1">
        <v>0</v>
      </c>
      <c r="K192" s="1">
        <v>0</v>
      </c>
    </row>
    <row r="193" spans="1:11" ht="20.25" customHeight="1" x14ac:dyDescent="0.25">
      <c r="A193" s="78" t="s">
        <v>856</v>
      </c>
      <c r="B193" s="56"/>
      <c r="C193" s="75" t="s">
        <v>355</v>
      </c>
      <c r="D193" s="8" t="s">
        <v>100</v>
      </c>
      <c r="E193" s="8" t="s">
        <v>356</v>
      </c>
      <c r="F193" s="9" t="s">
        <v>22</v>
      </c>
      <c r="G193" s="10">
        <f>94+29</f>
        <v>123</v>
      </c>
      <c r="H193" s="10">
        <f>115+20</f>
        <v>135</v>
      </c>
      <c r="I193" s="10">
        <f>97+17</f>
        <v>114</v>
      </c>
      <c r="J193" s="10">
        <f>76+13</f>
        <v>89</v>
      </c>
      <c r="K193" s="10">
        <f>75+13</f>
        <v>88</v>
      </c>
    </row>
    <row r="194" spans="1:11" ht="33.75" customHeight="1" x14ac:dyDescent="0.25">
      <c r="A194" s="79"/>
      <c r="B194" s="56"/>
      <c r="C194" s="76"/>
      <c r="D194" s="8" t="s">
        <v>495</v>
      </c>
      <c r="E194" s="64" t="s">
        <v>15</v>
      </c>
      <c r="F194" s="55" t="s">
        <v>7</v>
      </c>
      <c r="G194" s="1">
        <v>11599.5</v>
      </c>
      <c r="H194" s="1">
        <v>1176.68</v>
      </c>
      <c r="I194" s="1">
        <v>988.41</v>
      </c>
      <c r="J194" s="1">
        <v>774.26</v>
      </c>
      <c r="K194" s="1">
        <v>762.49</v>
      </c>
    </row>
    <row r="195" spans="1:11" ht="28.5" customHeight="1" x14ac:dyDescent="0.25">
      <c r="A195" s="80"/>
      <c r="B195" s="56"/>
      <c r="C195" s="77"/>
      <c r="D195" s="8" t="s">
        <v>475</v>
      </c>
      <c r="E195" s="65"/>
      <c r="F195" s="57"/>
      <c r="G195" s="1">
        <v>2782</v>
      </c>
      <c r="H195" s="1">
        <v>230.6</v>
      </c>
      <c r="I195" s="1">
        <v>193.7</v>
      </c>
      <c r="J195" s="1">
        <v>151.74</v>
      </c>
      <c r="K195" s="1">
        <v>149.43</v>
      </c>
    </row>
    <row r="196" spans="1:11" ht="20.25" customHeight="1" x14ac:dyDescent="0.25">
      <c r="A196" s="78" t="s">
        <v>857</v>
      </c>
      <c r="B196" s="56"/>
      <c r="C196" s="75" t="s">
        <v>358</v>
      </c>
      <c r="D196" s="8" t="s">
        <v>532</v>
      </c>
      <c r="E196" s="8" t="s">
        <v>359</v>
      </c>
      <c r="F196" s="9" t="s">
        <v>226</v>
      </c>
      <c r="G196" s="10">
        <v>88256</v>
      </c>
      <c r="H196" s="10">
        <v>88256</v>
      </c>
      <c r="I196" s="10">
        <v>74135</v>
      </c>
      <c r="J196" s="10">
        <v>58072</v>
      </c>
      <c r="K196" s="10">
        <v>57190</v>
      </c>
    </row>
    <row r="197" spans="1:11" ht="63" x14ac:dyDescent="0.25">
      <c r="A197" s="80"/>
      <c r="B197" s="56"/>
      <c r="C197" s="77"/>
      <c r="D197" s="8" t="s">
        <v>479</v>
      </c>
      <c r="E197" s="8" t="s">
        <v>15</v>
      </c>
      <c r="F197" s="9" t="s">
        <v>7</v>
      </c>
      <c r="G197" s="1">
        <v>39891.712</v>
      </c>
      <c r="H197" s="1">
        <v>45893.120000000003</v>
      </c>
      <c r="I197" s="1">
        <v>38550.22</v>
      </c>
      <c r="J197" s="1">
        <v>30197.67</v>
      </c>
      <c r="K197" s="1">
        <v>29738.74</v>
      </c>
    </row>
    <row r="198" spans="1:11" ht="24" customHeight="1" x14ac:dyDescent="0.25">
      <c r="A198" s="78" t="s">
        <v>858</v>
      </c>
      <c r="B198" s="56"/>
      <c r="C198" s="75" t="s">
        <v>360</v>
      </c>
      <c r="D198" s="8" t="s">
        <v>532</v>
      </c>
      <c r="E198" s="8" t="s">
        <v>359</v>
      </c>
      <c r="F198" s="9" t="s">
        <v>226</v>
      </c>
      <c r="G198" s="10">
        <v>72564</v>
      </c>
      <c r="H198" s="10">
        <v>72564</v>
      </c>
      <c r="I198" s="10">
        <v>60954</v>
      </c>
      <c r="J198" s="10">
        <v>47747</v>
      </c>
      <c r="K198" s="10">
        <v>47021</v>
      </c>
    </row>
    <row r="199" spans="1:11" ht="68.25" customHeight="1" x14ac:dyDescent="0.25">
      <c r="A199" s="80"/>
      <c r="B199" s="56"/>
      <c r="C199" s="77"/>
      <c r="D199" s="8" t="s">
        <v>479</v>
      </c>
      <c r="E199" s="8" t="s">
        <v>15</v>
      </c>
      <c r="F199" s="9" t="s">
        <v>7</v>
      </c>
      <c r="G199" s="1">
        <v>40307.03</v>
      </c>
      <c r="H199" s="1">
        <v>48400.19</v>
      </c>
      <c r="I199" s="1">
        <v>40656.15</v>
      </c>
      <c r="J199" s="1">
        <v>31847.32</v>
      </c>
      <c r="K199" s="1">
        <v>31363.32</v>
      </c>
    </row>
    <row r="200" spans="1:11" ht="47.25" customHeight="1" x14ac:dyDescent="0.25">
      <c r="A200" s="78" t="s">
        <v>859</v>
      </c>
      <c r="B200" s="56"/>
      <c r="C200" s="75" t="s">
        <v>361</v>
      </c>
      <c r="D200" s="8" t="s">
        <v>532</v>
      </c>
      <c r="E200" s="8" t="s">
        <v>359</v>
      </c>
      <c r="F200" s="9" t="s">
        <v>226</v>
      </c>
      <c r="G200" s="10">
        <v>32256</v>
      </c>
      <c r="H200" s="10">
        <v>32256</v>
      </c>
      <c r="I200" s="10">
        <v>27095</v>
      </c>
      <c r="J200" s="10">
        <v>21224</v>
      </c>
      <c r="K200" s="10">
        <v>20902</v>
      </c>
    </row>
    <row r="201" spans="1:11" ht="63" x14ac:dyDescent="0.25">
      <c r="A201" s="80"/>
      <c r="B201" s="56"/>
      <c r="C201" s="77"/>
      <c r="D201" s="8" t="s">
        <v>479</v>
      </c>
      <c r="E201" s="8" t="s">
        <v>15</v>
      </c>
      <c r="F201" s="9" t="s">
        <v>7</v>
      </c>
      <c r="G201" s="1">
        <v>14547.456</v>
      </c>
      <c r="H201" s="1">
        <v>17156.97</v>
      </c>
      <c r="I201" s="1">
        <v>14411.85</v>
      </c>
      <c r="J201" s="1">
        <v>11289.28</v>
      </c>
      <c r="K201" s="1">
        <v>11117.71</v>
      </c>
    </row>
    <row r="202" spans="1:11" ht="22.5" customHeight="1" x14ac:dyDescent="0.25">
      <c r="A202" s="78" t="s">
        <v>860</v>
      </c>
      <c r="B202" s="56"/>
      <c r="C202" s="75" t="s">
        <v>363</v>
      </c>
      <c r="D202" s="8" t="s">
        <v>1199</v>
      </c>
      <c r="E202" s="8" t="s">
        <v>362</v>
      </c>
      <c r="F202" s="9" t="s">
        <v>22</v>
      </c>
      <c r="G202" s="10">
        <v>12000</v>
      </c>
      <c r="H202" s="10">
        <v>129590</v>
      </c>
      <c r="I202" s="10">
        <v>108856</v>
      </c>
      <c r="J202" s="10">
        <v>85270</v>
      </c>
      <c r="K202" s="10">
        <v>83974</v>
      </c>
    </row>
    <row r="203" spans="1:11" ht="63" x14ac:dyDescent="0.25">
      <c r="A203" s="79"/>
      <c r="B203" s="56"/>
      <c r="C203" s="76"/>
      <c r="D203" s="8" t="s">
        <v>480</v>
      </c>
      <c r="E203" s="8" t="s">
        <v>15</v>
      </c>
      <c r="F203" s="9" t="s">
        <v>7</v>
      </c>
      <c r="G203" s="1">
        <v>1080</v>
      </c>
      <c r="H203" s="1">
        <v>11663.1</v>
      </c>
      <c r="I203" s="1">
        <v>9797</v>
      </c>
      <c r="J203" s="1">
        <v>7674.32</v>
      </c>
      <c r="K203" s="1">
        <v>7557.69</v>
      </c>
    </row>
    <row r="204" spans="1:11" ht="31.5" x14ac:dyDescent="0.25">
      <c r="A204" s="79"/>
      <c r="B204" s="56"/>
      <c r="C204" s="76"/>
      <c r="D204" s="8" t="s">
        <v>1199</v>
      </c>
      <c r="E204" s="8" t="s">
        <v>364</v>
      </c>
      <c r="F204" s="9" t="s">
        <v>22</v>
      </c>
      <c r="G204" s="10">
        <v>4</v>
      </c>
      <c r="H204" s="10">
        <v>4</v>
      </c>
      <c r="I204" s="10">
        <v>3</v>
      </c>
      <c r="J204" s="10">
        <v>3</v>
      </c>
      <c r="K204" s="10">
        <v>3</v>
      </c>
    </row>
    <row r="205" spans="1:11" ht="63" x14ac:dyDescent="0.25">
      <c r="A205" s="79"/>
      <c r="B205" s="56"/>
      <c r="C205" s="76"/>
      <c r="D205" s="8" t="s">
        <v>480</v>
      </c>
      <c r="E205" s="8" t="s">
        <v>15</v>
      </c>
      <c r="F205" s="9" t="s">
        <v>7</v>
      </c>
      <c r="G205" s="1">
        <v>1069</v>
      </c>
      <c r="H205" s="1">
        <v>1069</v>
      </c>
      <c r="I205" s="1">
        <v>897.96</v>
      </c>
      <c r="J205" s="1">
        <v>703.4</v>
      </c>
      <c r="K205" s="1">
        <v>692.71</v>
      </c>
    </row>
    <row r="206" spans="1:11" ht="31.5" x14ac:dyDescent="0.25">
      <c r="A206" s="79"/>
      <c r="B206" s="56"/>
      <c r="C206" s="76"/>
      <c r="D206" s="8" t="s">
        <v>366</v>
      </c>
      <c r="E206" s="8" t="s">
        <v>365</v>
      </c>
      <c r="F206" s="9" t="s">
        <v>22</v>
      </c>
      <c r="G206" s="10">
        <v>1</v>
      </c>
      <c r="H206" s="10" t="s">
        <v>165</v>
      </c>
      <c r="I206" s="10" t="s">
        <v>165</v>
      </c>
      <c r="J206" s="10" t="s">
        <v>165</v>
      </c>
      <c r="K206" s="10" t="s">
        <v>165</v>
      </c>
    </row>
    <row r="207" spans="1:11" ht="63" x14ac:dyDescent="0.25">
      <c r="A207" s="80"/>
      <c r="B207" s="56"/>
      <c r="C207" s="77"/>
      <c r="D207" s="8" t="s">
        <v>480</v>
      </c>
      <c r="E207" s="8" t="s">
        <v>15</v>
      </c>
      <c r="F207" s="9" t="s">
        <v>7</v>
      </c>
      <c r="G207" s="1">
        <v>75</v>
      </c>
      <c r="H207" s="1">
        <v>0</v>
      </c>
      <c r="I207" s="1">
        <v>0</v>
      </c>
      <c r="J207" s="1">
        <v>0</v>
      </c>
      <c r="K207" s="1">
        <v>0</v>
      </c>
    </row>
    <row r="208" spans="1:11" ht="19.5" customHeight="1" x14ac:dyDescent="0.25">
      <c r="A208" s="78" t="s">
        <v>861</v>
      </c>
      <c r="B208" s="56"/>
      <c r="C208" s="75" t="s">
        <v>367</v>
      </c>
      <c r="D208" s="8" t="s">
        <v>155</v>
      </c>
      <c r="E208" s="8" t="s">
        <v>368</v>
      </c>
      <c r="F208" s="9" t="s">
        <v>22</v>
      </c>
      <c r="G208" s="10">
        <f>21+21</f>
        <v>42</v>
      </c>
      <c r="H208" s="10">
        <f>18+13</f>
        <v>31</v>
      </c>
      <c r="I208" s="10">
        <f>15+11</f>
        <v>26</v>
      </c>
      <c r="J208" s="10">
        <f>12+9</f>
        <v>21</v>
      </c>
      <c r="K208" s="10">
        <f>12+8</f>
        <v>20</v>
      </c>
    </row>
    <row r="209" spans="1:11" ht="48.75" customHeight="1" x14ac:dyDescent="0.25">
      <c r="A209" s="79"/>
      <c r="B209" s="56"/>
      <c r="C209" s="76"/>
      <c r="D209" s="8" t="s">
        <v>483</v>
      </c>
      <c r="E209" s="64" t="s">
        <v>15</v>
      </c>
      <c r="F209" s="55" t="s">
        <v>7</v>
      </c>
      <c r="G209" s="1">
        <v>19955.419999999998</v>
      </c>
      <c r="H209" s="1">
        <v>4166.46</v>
      </c>
      <c r="I209" s="1">
        <v>3499.83</v>
      </c>
      <c r="J209" s="1">
        <v>2741.53</v>
      </c>
      <c r="K209" s="1">
        <v>2699.87</v>
      </c>
    </row>
    <row r="210" spans="1:11" ht="15.75" x14ac:dyDescent="0.25">
      <c r="A210" s="80"/>
      <c r="B210" s="56"/>
      <c r="C210" s="77"/>
      <c r="D210" s="8" t="s">
        <v>1188</v>
      </c>
      <c r="E210" s="65"/>
      <c r="F210" s="57"/>
      <c r="G210" s="1">
        <v>0</v>
      </c>
      <c r="H210" s="1">
        <v>29495.57</v>
      </c>
      <c r="I210" s="1">
        <v>24776.28</v>
      </c>
      <c r="J210" s="1">
        <v>19408.09</v>
      </c>
      <c r="K210" s="1">
        <v>19113.13</v>
      </c>
    </row>
    <row r="211" spans="1:11" ht="15.75" x14ac:dyDescent="0.25">
      <c r="A211" s="78" t="s">
        <v>862</v>
      </c>
      <c r="B211" s="56"/>
      <c r="C211" s="75" t="s">
        <v>369</v>
      </c>
      <c r="D211" s="8" t="s">
        <v>71</v>
      </c>
      <c r="E211" s="8" t="s">
        <v>370</v>
      </c>
      <c r="F211" s="9" t="s">
        <v>22</v>
      </c>
      <c r="G211" s="10">
        <f>319+95</f>
        <v>414</v>
      </c>
      <c r="H211" s="10">
        <f>28+95+109</f>
        <v>232</v>
      </c>
      <c r="I211" s="10">
        <f>24+80+92</f>
        <v>196</v>
      </c>
      <c r="J211" s="10">
        <f>18+63+72</f>
        <v>153</v>
      </c>
      <c r="K211" s="10">
        <f>18+62+71</f>
        <v>151</v>
      </c>
    </row>
    <row r="212" spans="1:11" ht="31.5" x14ac:dyDescent="0.25">
      <c r="A212" s="79"/>
      <c r="B212" s="56"/>
      <c r="C212" s="76"/>
      <c r="D212" s="8" t="s">
        <v>483</v>
      </c>
      <c r="E212" s="64" t="s">
        <v>15</v>
      </c>
      <c r="F212" s="55" t="s">
        <v>7</v>
      </c>
      <c r="G212" s="1">
        <v>21330.9</v>
      </c>
      <c r="H212" s="1">
        <v>12699.4</v>
      </c>
      <c r="I212" s="1">
        <v>10667.5</v>
      </c>
      <c r="J212" s="1">
        <v>8356.2099999999991</v>
      </c>
      <c r="K212" s="1">
        <v>8229.2099999999991</v>
      </c>
    </row>
    <row r="213" spans="1:11" ht="15.75" x14ac:dyDescent="0.25">
      <c r="A213" s="79"/>
      <c r="B213" s="56"/>
      <c r="C213" s="76"/>
      <c r="D213" s="8" t="s">
        <v>1186</v>
      </c>
      <c r="E213" s="71"/>
      <c r="F213" s="56"/>
      <c r="G213" s="1">
        <v>0</v>
      </c>
      <c r="H213" s="1">
        <v>7540.62</v>
      </c>
      <c r="I213" s="1">
        <v>6334.12</v>
      </c>
      <c r="J213" s="1">
        <v>4961.7</v>
      </c>
      <c r="K213" s="1">
        <v>4886.32</v>
      </c>
    </row>
    <row r="214" spans="1:11" ht="32.25" customHeight="1" x14ac:dyDescent="0.25">
      <c r="A214" s="80"/>
      <c r="B214" s="56"/>
      <c r="C214" s="77"/>
      <c r="D214" s="8" t="s">
        <v>475</v>
      </c>
      <c r="E214" s="65"/>
      <c r="F214" s="57"/>
      <c r="G214" s="1">
        <v>4872</v>
      </c>
      <c r="H214" s="1">
        <v>6572.1</v>
      </c>
      <c r="I214" s="1">
        <v>5520.56</v>
      </c>
      <c r="J214" s="1">
        <v>4324.4399999999996</v>
      </c>
      <c r="K214" s="1">
        <v>4258.72</v>
      </c>
    </row>
    <row r="215" spans="1:11" ht="18.75" customHeight="1" x14ac:dyDescent="0.25">
      <c r="A215" s="78" t="s">
        <v>863</v>
      </c>
      <c r="B215" s="56"/>
      <c r="C215" s="55" t="s">
        <v>371</v>
      </c>
      <c r="D215" s="28" t="s">
        <v>1200</v>
      </c>
      <c r="E215" s="8" t="s">
        <v>372</v>
      </c>
      <c r="F215" s="9" t="s">
        <v>22</v>
      </c>
      <c r="G215" s="10">
        <v>867</v>
      </c>
      <c r="H215" s="10">
        <f>1834+1552+1554</f>
        <v>4940</v>
      </c>
      <c r="I215" s="10">
        <f>1541+1304+1305</f>
        <v>4150</v>
      </c>
      <c r="J215" s="10">
        <f>1207+1021+1023</f>
        <v>3251</v>
      </c>
      <c r="K215" s="10">
        <f>1188+1006+1007</f>
        <v>3201</v>
      </c>
    </row>
    <row r="216" spans="1:11" ht="33.75" customHeight="1" x14ac:dyDescent="0.25">
      <c r="A216" s="79"/>
      <c r="B216" s="56"/>
      <c r="C216" s="56"/>
      <c r="D216" s="28" t="s">
        <v>483</v>
      </c>
      <c r="E216" s="64" t="s">
        <v>15</v>
      </c>
      <c r="F216" s="55" t="s">
        <v>7</v>
      </c>
      <c r="G216" s="1">
        <v>8236.840000000002</v>
      </c>
      <c r="H216" s="1">
        <v>8268.0300000000007</v>
      </c>
      <c r="I216" s="1">
        <v>6945.14</v>
      </c>
      <c r="J216" s="1">
        <v>5440.36</v>
      </c>
      <c r="K216" s="1">
        <v>5357.68</v>
      </c>
    </row>
    <row r="217" spans="1:11" ht="15.75" x14ac:dyDescent="0.25">
      <c r="A217" s="79"/>
      <c r="B217" s="56"/>
      <c r="C217" s="56"/>
      <c r="D217" s="28" t="s">
        <v>1187</v>
      </c>
      <c r="E217" s="71"/>
      <c r="F217" s="56"/>
      <c r="G217" s="1">
        <v>0</v>
      </c>
      <c r="H217" s="1">
        <v>7960.92</v>
      </c>
      <c r="I217" s="1">
        <v>6687.17</v>
      </c>
      <c r="J217" s="1">
        <v>5238.29</v>
      </c>
      <c r="K217" s="1">
        <v>5158.68</v>
      </c>
    </row>
    <row r="218" spans="1:11" ht="15.75" x14ac:dyDescent="0.25">
      <c r="A218" s="80"/>
      <c r="B218" s="56"/>
      <c r="C218" s="57"/>
      <c r="D218" s="8" t="s">
        <v>1188</v>
      </c>
      <c r="E218" s="65"/>
      <c r="F218" s="57"/>
      <c r="G218" s="1">
        <v>0</v>
      </c>
      <c r="H218" s="1">
        <v>1507.38</v>
      </c>
      <c r="I218" s="1">
        <v>1266.2</v>
      </c>
      <c r="J218" s="1">
        <v>991.86</v>
      </c>
      <c r="K218" s="1">
        <v>976.78</v>
      </c>
    </row>
    <row r="219" spans="1:11" ht="26.25" customHeight="1" x14ac:dyDescent="0.25">
      <c r="A219" s="55" t="s">
        <v>1189</v>
      </c>
      <c r="B219" s="56"/>
      <c r="C219" s="55" t="s">
        <v>1130</v>
      </c>
      <c r="D219" s="28" t="s">
        <v>1193</v>
      </c>
      <c r="E219" s="8" t="s">
        <v>1191</v>
      </c>
      <c r="F219" s="9" t="s">
        <v>1190</v>
      </c>
      <c r="G219" s="1" t="s">
        <v>165</v>
      </c>
      <c r="H219" s="1">
        <v>139701</v>
      </c>
      <c r="I219" s="1">
        <v>117348.84</v>
      </c>
      <c r="J219" s="1">
        <v>91923.257999999987</v>
      </c>
      <c r="K219" s="1">
        <v>90526.248000000007</v>
      </c>
    </row>
    <row r="220" spans="1:11" ht="63" x14ac:dyDescent="0.25">
      <c r="A220" s="57"/>
      <c r="B220" s="57"/>
      <c r="C220" s="57"/>
      <c r="D220" s="8" t="s">
        <v>1192</v>
      </c>
      <c r="E220" s="8" t="s">
        <v>15</v>
      </c>
      <c r="F220" s="9" t="s">
        <v>6</v>
      </c>
      <c r="G220" s="1">
        <v>0</v>
      </c>
      <c r="H220" s="1">
        <v>50292.36</v>
      </c>
      <c r="I220" s="1">
        <v>42715.932399999998</v>
      </c>
      <c r="J220" s="1">
        <v>33061.382879999997</v>
      </c>
      <c r="K220" s="1">
        <v>32975.01928</v>
      </c>
    </row>
    <row r="221" spans="1:11" ht="63" x14ac:dyDescent="0.25">
      <c r="A221" s="61" t="s">
        <v>1094</v>
      </c>
      <c r="B221" s="62"/>
      <c r="C221" s="62"/>
      <c r="D221" s="63"/>
      <c r="E221" s="13" t="s">
        <v>16</v>
      </c>
      <c r="F221" s="14" t="s">
        <v>7</v>
      </c>
      <c r="G221" s="15">
        <f>SUM(G216+G214+G212+G209+G207+G205+G203+G201+G199+G197+G195+G194+G192+G190+G188+G186+G183+G181+G180+G178+G177+G175+G173+G171+G169+G167+G164+G162+G159+G157+G156+G153+G150+G148+G146+G145+G143+G142)-0.1+G218+G217+G213+G184+G165+G160+G154+G151+G220</f>
        <v>518309.28799999994</v>
      </c>
      <c r="H221" s="15">
        <f>H142+H143+H145+H146+H148+H150+H151+H153+H154+H156+H157+H159+H160+H162+H164+H165+H167+H169+H171+H173+H175+H177+H178+H180+H181+H184+H186+H188+H190+H192+H194+H195+H197+H199+H201+H203+H205+H207+H209+H210+H212+H213+H214+H216+H217+H218+H220+H183</f>
        <v>668716.25199999986</v>
      </c>
      <c r="I221" s="15">
        <f t="shared" ref="I221:K221" si="5">I142+I143+I145+I146+I148+I150+I151+I153+I154+I156+I157+I159+I160+I162+I164+I165+I167+I169+I171+I173+I175+I177+I178+I180+I181+I184+I186+I188+I190+I192+I194+I195+I197+I199+I201+I203+I205+I207+I209+I210+I212+I213+I214+I216+I217+I218+I220+I183</f>
        <v>562191.95240000007</v>
      </c>
      <c r="J221" s="15">
        <f>J142+J143+J145+J146+J148+J150+J151+J153+J154+J156+J157+J159+J160+J162+J164+J165+J167+J169+J171+J173+J175+J177+J178+J180+J181+J184+J186+J188+J190+J192+J194+J195+J197+J199+J201+J203+J205+J207+J209+J210+J212+J213+J214+J216+J217+J218+J220+J183+0.3</f>
        <v>439984.27288000012</v>
      </c>
      <c r="K221" s="15">
        <f t="shared" si="5"/>
        <v>433713.71928000002</v>
      </c>
    </row>
    <row r="222" spans="1:11" ht="63" x14ac:dyDescent="0.25">
      <c r="A222" s="58" t="s">
        <v>1111</v>
      </c>
      <c r="B222" s="59"/>
      <c r="C222" s="59"/>
      <c r="D222" s="60"/>
      <c r="E222" s="16" t="s">
        <v>16</v>
      </c>
      <c r="F222" s="17" t="s">
        <v>7</v>
      </c>
      <c r="G222" s="18">
        <f>G221</f>
        <v>518309.28799999994</v>
      </c>
      <c r="H222" s="18">
        <f>H221</f>
        <v>668716.25199999986</v>
      </c>
      <c r="I222" s="18">
        <f t="shared" ref="I222:K222" si="6">I221</f>
        <v>562191.95240000007</v>
      </c>
      <c r="J222" s="18">
        <f t="shared" si="6"/>
        <v>439984.27288000012</v>
      </c>
      <c r="K222" s="18">
        <f t="shared" si="6"/>
        <v>433713.71928000002</v>
      </c>
    </row>
    <row r="223" spans="1:11" ht="15.75" customHeight="1" x14ac:dyDescent="0.25">
      <c r="A223" s="29" t="s">
        <v>11</v>
      </c>
      <c r="B223" s="66" t="s">
        <v>37</v>
      </c>
      <c r="C223" s="67"/>
      <c r="D223" s="67"/>
      <c r="E223" s="67"/>
      <c r="F223" s="67"/>
      <c r="G223" s="67"/>
      <c r="H223" s="67"/>
      <c r="I223" s="67"/>
      <c r="J223" s="67"/>
      <c r="K223" s="68"/>
    </row>
    <row r="224" spans="1:11" ht="47.25" customHeight="1" x14ac:dyDescent="0.25">
      <c r="A224" s="55" t="s">
        <v>53</v>
      </c>
      <c r="B224" s="55" t="s">
        <v>1005</v>
      </c>
      <c r="C224" s="55" t="s">
        <v>38</v>
      </c>
      <c r="D224" s="8" t="s">
        <v>39</v>
      </c>
      <c r="E224" s="8" t="s">
        <v>40</v>
      </c>
      <c r="F224" s="9" t="s">
        <v>41</v>
      </c>
      <c r="G224" s="30">
        <v>3642.71</v>
      </c>
      <c r="H224" s="30">
        <v>3642.71</v>
      </c>
      <c r="I224" s="30">
        <v>3642.71</v>
      </c>
      <c r="J224" s="30">
        <v>3642.71</v>
      </c>
      <c r="K224" s="30">
        <v>3642.71</v>
      </c>
    </row>
    <row r="225" spans="1:11" ht="62.25" customHeight="1" x14ac:dyDescent="0.25">
      <c r="A225" s="57"/>
      <c r="B225" s="56"/>
      <c r="C225" s="57"/>
      <c r="D225" s="8" t="s">
        <v>42</v>
      </c>
      <c r="E225" s="8" t="s">
        <v>15</v>
      </c>
      <c r="F225" s="31" t="s">
        <v>6</v>
      </c>
      <c r="G225" s="1">
        <v>13975.3</v>
      </c>
      <c r="H225" s="30">
        <v>14272.4</v>
      </c>
      <c r="I225" s="30">
        <v>11386</v>
      </c>
      <c r="J225" s="30">
        <v>11786.5</v>
      </c>
      <c r="K225" s="30">
        <v>10948.1</v>
      </c>
    </row>
    <row r="226" spans="1:11" ht="46.5" customHeight="1" x14ac:dyDescent="0.25">
      <c r="A226" s="55" t="s">
        <v>54</v>
      </c>
      <c r="B226" s="56"/>
      <c r="C226" s="55" t="s">
        <v>43</v>
      </c>
      <c r="D226" s="8" t="s">
        <v>44</v>
      </c>
      <c r="E226" s="8" t="s">
        <v>45</v>
      </c>
      <c r="F226" s="31" t="s">
        <v>22</v>
      </c>
      <c r="G226" s="10">
        <v>11890</v>
      </c>
      <c r="H226" s="10">
        <v>9520</v>
      </c>
      <c r="I226" s="10">
        <v>7600</v>
      </c>
      <c r="J226" s="10">
        <v>5120</v>
      </c>
      <c r="K226" s="10">
        <v>6240</v>
      </c>
    </row>
    <row r="227" spans="1:11" ht="79.5" customHeight="1" x14ac:dyDescent="0.25">
      <c r="A227" s="57"/>
      <c r="B227" s="56"/>
      <c r="C227" s="57"/>
      <c r="D227" s="8" t="s">
        <v>42</v>
      </c>
      <c r="E227" s="8" t="s">
        <v>15</v>
      </c>
      <c r="F227" s="31" t="s">
        <v>6</v>
      </c>
      <c r="G227" s="1">
        <v>3476.3</v>
      </c>
      <c r="H227" s="30">
        <f>3746+34.2</f>
        <v>3780.2</v>
      </c>
      <c r="I227" s="30">
        <v>4084.7</v>
      </c>
      <c r="J227" s="30">
        <v>5199.8</v>
      </c>
      <c r="K227" s="30">
        <v>5392.3</v>
      </c>
    </row>
    <row r="228" spans="1:11" ht="16.5" customHeight="1" x14ac:dyDescent="0.25">
      <c r="A228" s="55" t="s">
        <v>55</v>
      </c>
      <c r="B228" s="56"/>
      <c r="C228" s="55" t="s">
        <v>46</v>
      </c>
      <c r="D228" s="64" t="s">
        <v>1002</v>
      </c>
      <c r="E228" s="8" t="s">
        <v>63</v>
      </c>
      <c r="F228" s="9" t="s">
        <v>49</v>
      </c>
      <c r="G228" s="10">
        <v>8500</v>
      </c>
      <c r="H228" s="10">
        <v>6400</v>
      </c>
      <c r="I228" s="10">
        <v>6100</v>
      </c>
      <c r="J228" s="10">
        <v>6000</v>
      </c>
      <c r="K228" s="10">
        <v>5900</v>
      </c>
    </row>
    <row r="229" spans="1:11" ht="31.5" customHeight="1" x14ac:dyDescent="0.25">
      <c r="A229" s="56"/>
      <c r="B229" s="56"/>
      <c r="C229" s="56"/>
      <c r="D229" s="71"/>
      <c r="E229" s="8" t="s">
        <v>1004</v>
      </c>
      <c r="F229" s="9" t="s">
        <v>49</v>
      </c>
      <c r="G229" s="10">
        <v>297500</v>
      </c>
      <c r="H229" s="10" t="s">
        <v>165</v>
      </c>
      <c r="I229" s="10" t="s">
        <v>165</v>
      </c>
      <c r="J229" s="10" t="s">
        <v>165</v>
      </c>
      <c r="K229" s="10" t="s">
        <v>165</v>
      </c>
    </row>
    <row r="230" spans="1:11" ht="16.5" customHeight="1" x14ac:dyDescent="0.25">
      <c r="A230" s="56"/>
      <c r="B230" s="56"/>
      <c r="C230" s="56"/>
      <c r="D230" s="71"/>
      <c r="E230" s="8" t="s">
        <v>1003</v>
      </c>
      <c r="F230" s="9" t="s">
        <v>22</v>
      </c>
      <c r="G230" s="10" t="s">
        <v>165</v>
      </c>
      <c r="H230" s="10">
        <v>208</v>
      </c>
      <c r="I230" s="10">
        <v>208</v>
      </c>
      <c r="J230" s="10">
        <v>208</v>
      </c>
      <c r="K230" s="10">
        <v>208</v>
      </c>
    </row>
    <row r="231" spans="1:11" ht="15.75" x14ac:dyDescent="0.25">
      <c r="A231" s="56"/>
      <c r="B231" s="56"/>
      <c r="C231" s="56"/>
      <c r="D231" s="65"/>
      <c r="E231" s="8" t="s">
        <v>50</v>
      </c>
      <c r="F231" s="9" t="s">
        <v>51</v>
      </c>
      <c r="G231" s="10">
        <v>20</v>
      </c>
      <c r="H231" s="10">
        <v>20</v>
      </c>
      <c r="I231" s="10">
        <v>20</v>
      </c>
      <c r="J231" s="10">
        <v>20</v>
      </c>
      <c r="K231" s="10">
        <v>20</v>
      </c>
    </row>
    <row r="232" spans="1:11" ht="42" customHeight="1" x14ac:dyDescent="0.25">
      <c r="A232" s="56"/>
      <c r="B232" s="56"/>
      <c r="C232" s="56"/>
      <c r="D232" s="8" t="s">
        <v>48</v>
      </c>
      <c r="E232" s="64" t="s">
        <v>15</v>
      </c>
      <c r="F232" s="69" t="s">
        <v>6</v>
      </c>
      <c r="G232" s="1">
        <v>4673.8999999999996</v>
      </c>
      <c r="H232" s="1">
        <v>6725</v>
      </c>
      <c r="I232" s="1">
        <v>6559.3</v>
      </c>
      <c r="J232" s="1">
        <v>6803.7</v>
      </c>
      <c r="K232" s="1">
        <v>6778.6</v>
      </c>
    </row>
    <row r="233" spans="1:11" ht="24" customHeight="1" x14ac:dyDescent="0.25">
      <c r="A233" s="57"/>
      <c r="B233" s="57"/>
      <c r="C233" s="57"/>
      <c r="D233" s="8" t="s">
        <v>47</v>
      </c>
      <c r="E233" s="65"/>
      <c r="F233" s="69"/>
      <c r="G233" s="1">
        <v>4849.5</v>
      </c>
      <c r="H233" s="1">
        <v>7108.7</v>
      </c>
      <c r="I233" s="1">
        <v>6486.1</v>
      </c>
      <c r="J233" s="1">
        <v>6098.8</v>
      </c>
      <c r="K233" s="1">
        <v>6081.3</v>
      </c>
    </row>
    <row r="234" spans="1:11" ht="63" x14ac:dyDescent="0.25">
      <c r="A234" s="61" t="s">
        <v>1006</v>
      </c>
      <c r="B234" s="62"/>
      <c r="C234" s="62"/>
      <c r="D234" s="63"/>
      <c r="E234" s="13" t="s">
        <v>16</v>
      </c>
      <c r="F234" s="14" t="s">
        <v>7</v>
      </c>
      <c r="G234" s="15">
        <f>G225+G227+G232+G233</f>
        <v>26975</v>
      </c>
      <c r="H234" s="15">
        <f t="shared" ref="H234:K234" si="7">H225+H227+H232+H233</f>
        <v>31886.3</v>
      </c>
      <c r="I234" s="15">
        <f t="shared" si="7"/>
        <v>28516.1</v>
      </c>
      <c r="J234" s="15">
        <f t="shared" si="7"/>
        <v>29888.799999999999</v>
      </c>
      <c r="K234" s="15">
        <f t="shared" si="7"/>
        <v>29200.3</v>
      </c>
    </row>
    <row r="235" spans="1:11" ht="63" x14ac:dyDescent="0.25">
      <c r="A235" s="58" t="s">
        <v>52</v>
      </c>
      <c r="B235" s="59"/>
      <c r="C235" s="59"/>
      <c r="D235" s="60"/>
      <c r="E235" s="16" t="s">
        <v>16</v>
      </c>
      <c r="F235" s="17" t="s">
        <v>7</v>
      </c>
      <c r="G235" s="18">
        <f>G234</f>
        <v>26975</v>
      </c>
      <c r="H235" s="18">
        <f t="shared" ref="H235:K235" si="8">H234</f>
        <v>31886.3</v>
      </c>
      <c r="I235" s="18">
        <f t="shared" si="8"/>
        <v>28516.1</v>
      </c>
      <c r="J235" s="18">
        <f t="shared" si="8"/>
        <v>29888.799999999999</v>
      </c>
      <c r="K235" s="18">
        <f t="shared" si="8"/>
        <v>29200.3</v>
      </c>
    </row>
    <row r="236" spans="1:11" ht="15.75" customHeight="1" x14ac:dyDescent="0.25">
      <c r="A236" s="29" t="s">
        <v>864</v>
      </c>
      <c r="B236" s="66" t="s">
        <v>430</v>
      </c>
      <c r="C236" s="67"/>
      <c r="D236" s="67"/>
      <c r="E236" s="67"/>
      <c r="F236" s="67"/>
      <c r="G236" s="67"/>
      <c r="H236" s="67"/>
      <c r="I236" s="67"/>
      <c r="J236" s="67"/>
      <c r="K236" s="68"/>
    </row>
    <row r="237" spans="1:11" ht="71.25" customHeight="1" x14ac:dyDescent="0.25">
      <c r="A237" s="55" t="s">
        <v>865</v>
      </c>
      <c r="B237" s="55" t="s">
        <v>431</v>
      </c>
      <c r="C237" s="55" t="s">
        <v>432</v>
      </c>
      <c r="D237" s="8" t="s">
        <v>434</v>
      </c>
      <c r="E237" s="8" t="s">
        <v>433</v>
      </c>
      <c r="F237" s="9" t="s">
        <v>68</v>
      </c>
      <c r="G237" s="10">
        <v>2892</v>
      </c>
      <c r="H237" s="10">
        <v>2912</v>
      </c>
      <c r="I237" s="10">
        <v>2912</v>
      </c>
      <c r="J237" s="10">
        <v>2912</v>
      </c>
      <c r="K237" s="10">
        <v>2912</v>
      </c>
    </row>
    <row r="238" spans="1:11" ht="41.25" customHeight="1" x14ac:dyDescent="0.25">
      <c r="A238" s="56"/>
      <c r="B238" s="56"/>
      <c r="C238" s="56"/>
      <c r="D238" s="32" t="s">
        <v>435</v>
      </c>
      <c r="E238" s="64" t="s">
        <v>15</v>
      </c>
      <c r="F238" s="55" t="s">
        <v>7</v>
      </c>
      <c r="G238" s="33">
        <v>159843.48000000001</v>
      </c>
      <c r="H238" s="1">
        <v>224786.2</v>
      </c>
      <c r="I238" s="1">
        <v>193264.36</v>
      </c>
      <c r="J238" s="1">
        <v>153026.72</v>
      </c>
      <c r="K238" s="1">
        <v>150958.79</v>
      </c>
    </row>
    <row r="239" spans="1:11" ht="27" customHeight="1" x14ac:dyDescent="0.25">
      <c r="A239" s="56"/>
      <c r="B239" s="56"/>
      <c r="C239" s="56"/>
      <c r="D239" s="8" t="s">
        <v>436</v>
      </c>
      <c r="E239" s="71"/>
      <c r="F239" s="56"/>
      <c r="G239" s="33">
        <v>315469.05</v>
      </c>
      <c r="H239" s="1">
        <v>397570</v>
      </c>
      <c r="I239" s="1">
        <v>343461.1</v>
      </c>
      <c r="J239" s="1">
        <v>271952.5</v>
      </c>
      <c r="K239" s="1">
        <v>268277.53999999998</v>
      </c>
    </row>
    <row r="240" spans="1:11" ht="27" customHeight="1" x14ac:dyDescent="0.25">
      <c r="A240" s="56"/>
      <c r="B240" s="56"/>
      <c r="C240" s="56"/>
      <c r="D240" s="8" t="s">
        <v>437</v>
      </c>
      <c r="E240" s="71"/>
      <c r="F240" s="56"/>
      <c r="G240" s="33">
        <v>98253.6</v>
      </c>
      <c r="H240" s="1">
        <v>109896.5</v>
      </c>
      <c r="I240" s="1">
        <v>99073.25</v>
      </c>
      <c r="J240" s="1">
        <v>78446.19</v>
      </c>
      <c r="K240" s="1">
        <v>77386</v>
      </c>
    </row>
    <row r="241" spans="1:11" ht="27" customHeight="1" x14ac:dyDescent="0.25">
      <c r="A241" s="56"/>
      <c r="B241" s="56"/>
      <c r="C241" s="56"/>
      <c r="D241" s="8" t="s">
        <v>438</v>
      </c>
      <c r="E241" s="71"/>
      <c r="F241" s="56"/>
      <c r="G241" s="33">
        <v>57369.7</v>
      </c>
      <c r="H241" s="1">
        <v>71161</v>
      </c>
      <c r="I241" s="1">
        <v>75501.820000000007</v>
      </c>
      <c r="J241" s="1">
        <v>59782.34</v>
      </c>
      <c r="K241" s="1">
        <v>58676.27</v>
      </c>
    </row>
    <row r="242" spans="1:11" ht="27" customHeight="1" x14ac:dyDescent="0.25">
      <c r="A242" s="56"/>
      <c r="B242" s="56"/>
      <c r="C242" s="56"/>
      <c r="D242" s="8" t="s">
        <v>439</v>
      </c>
      <c r="E242" s="71"/>
      <c r="F242" s="56"/>
      <c r="G242" s="33">
        <v>17688</v>
      </c>
      <c r="H242" s="1">
        <v>17500</v>
      </c>
      <c r="I242" s="1">
        <v>15440.25</v>
      </c>
      <c r="J242" s="1">
        <v>12225.59</v>
      </c>
      <c r="K242" s="1">
        <v>11999.32</v>
      </c>
    </row>
    <row r="243" spans="1:11" ht="32.25" customHeight="1" x14ac:dyDescent="0.25">
      <c r="A243" s="57"/>
      <c r="B243" s="56"/>
      <c r="C243" s="57"/>
      <c r="D243" s="8" t="s">
        <v>440</v>
      </c>
      <c r="E243" s="65"/>
      <c r="F243" s="57"/>
      <c r="G243" s="33">
        <v>57458.55</v>
      </c>
      <c r="H243" s="1">
        <v>90898.81</v>
      </c>
      <c r="I243" s="1">
        <v>76991.289999999994</v>
      </c>
      <c r="J243" s="1">
        <v>60961.81</v>
      </c>
      <c r="K243" s="1">
        <v>59833.9</v>
      </c>
    </row>
    <row r="244" spans="1:11" ht="33.75" customHeight="1" x14ac:dyDescent="0.25">
      <c r="A244" s="55" t="s">
        <v>866</v>
      </c>
      <c r="B244" s="56"/>
      <c r="C244" s="55" t="s">
        <v>441</v>
      </c>
      <c r="D244" s="8" t="s">
        <v>442</v>
      </c>
      <c r="E244" s="8" t="s">
        <v>433</v>
      </c>
      <c r="F244" s="9" t="s">
        <v>68</v>
      </c>
      <c r="G244" s="10">
        <v>3697</v>
      </c>
      <c r="H244" s="10">
        <v>2672</v>
      </c>
      <c r="I244" s="10">
        <v>2378</v>
      </c>
      <c r="J244" s="10">
        <v>2378</v>
      </c>
      <c r="K244" s="10">
        <v>2378</v>
      </c>
    </row>
    <row r="245" spans="1:11" ht="39" customHeight="1" x14ac:dyDescent="0.25">
      <c r="A245" s="56"/>
      <c r="B245" s="56"/>
      <c r="C245" s="56"/>
      <c r="D245" s="8" t="s">
        <v>1201</v>
      </c>
      <c r="E245" s="64" t="s">
        <v>15</v>
      </c>
      <c r="F245" s="55" t="s">
        <v>7</v>
      </c>
      <c r="G245" s="33">
        <v>1018794.3</v>
      </c>
      <c r="H245" s="1">
        <v>0</v>
      </c>
      <c r="I245" s="1">
        <v>0</v>
      </c>
      <c r="J245" s="1">
        <v>0</v>
      </c>
      <c r="K245" s="1">
        <v>0</v>
      </c>
    </row>
    <row r="246" spans="1:11" ht="21.75" customHeight="1" x14ac:dyDescent="0.25">
      <c r="A246" s="56"/>
      <c r="B246" s="56"/>
      <c r="C246" s="56"/>
      <c r="D246" s="8" t="s">
        <v>1202</v>
      </c>
      <c r="E246" s="71"/>
      <c r="F246" s="56"/>
      <c r="G246" s="33">
        <v>0</v>
      </c>
      <c r="H246" s="1">
        <v>970824.9</v>
      </c>
      <c r="I246" s="1">
        <v>725752.7</v>
      </c>
      <c r="J246" s="1">
        <v>574651.1</v>
      </c>
      <c r="K246" s="1">
        <v>566885.1</v>
      </c>
    </row>
    <row r="247" spans="1:11" ht="25.5" customHeight="1" x14ac:dyDescent="0.25">
      <c r="A247" s="56"/>
      <c r="B247" s="56"/>
      <c r="C247" s="56"/>
      <c r="D247" s="8" t="s">
        <v>439</v>
      </c>
      <c r="E247" s="71"/>
      <c r="F247" s="56"/>
      <c r="G247" s="33">
        <v>56703.58</v>
      </c>
      <c r="H247" s="1">
        <v>70736.7</v>
      </c>
      <c r="I247" s="1">
        <v>62246.19</v>
      </c>
      <c r="J247" s="1">
        <v>49294.080000000002</v>
      </c>
      <c r="K247" s="1">
        <v>48687.45</v>
      </c>
    </row>
    <row r="248" spans="1:11" ht="25.5" customHeight="1" x14ac:dyDescent="0.25">
      <c r="A248" s="57"/>
      <c r="B248" s="56"/>
      <c r="C248" s="57"/>
      <c r="D248" s="8" t="s">
        <v>1203</v>
      </c>
      <c r="E248" s="65"/>
      <c r="F248" s="57"/>
      <c r="G248" s="33">
        <v>0</v>
      </c>
      <c r="H248" s="1">
        <v>14797.3</v>
      </c>
      <c r="I248" s="1">
        <v>13229.1</v>
      </c>
      <c r="J248" s="1">
        <v>10474.9</v>
      </c>
      <c r="K248" s="1">
        <v>10333.25</v>
      </c>
    </row>
    <row r="249" spans="1:11" ht="73.5" customHeight="1" x14ac:dyDescent="0.25">
      <c r="A249" s="55" t="s">
        <v>867</v>
      </c>
      <c r="B249" s="56"/>
      <c r="C249" s="55" t="s">
        <v>445</v>
      </c>
      <c r="D249" s="8" t="s">
        <v>443</v>
      </c>
      <c r="E249" s="8" t="s">
        <v>446</v>
      </c>
      <c r="F249" s="9" t="s">
        <v>68</v>
      </c>
      <c r="G249" s="10">
        <v>6957</v>
      </c>
      <c r="H249" s="10">
        <v>5703</v>
      </c>
      <c r="I249" s="10">
        <v>5703</v>
      </c>
      <c r="J249" s="10">
        <v>5703</v>
      </c>
      <c r="K249" s="10">
        <v>5703</v>
      </c>
    </row>
    <row r="250" spans="1:11" ht="42" customHeight="1" x14ac:dyDescent="0.25">
      <c r="A250" s="56"/>
      <c r="B250" s="56"/>
      <c r="C250" s="56"/>
      <c r="D250" s="8" t="s">
        <v>444</v>
      </c>
      <c r="E250" s="64" t="s">
        <v>15</v>
      </c>
      <c r="F250" s="55" t="s">
        <v>7</v>
      </c>
      <c r="G250" s="33">
        <v>263865.08</v>
      </c>
      <c r="H250" s="1">
        <v>395000.6</v>
      </c>
      <c r="I250" s="1">
        <v>419877.35</v>
      </c>
      <c r="J250" s="1">
        <v>332458.87</v>
      </c>
      <c r="K250" s="1">
        <v>328263.69</v>
      </c>
    </row>
    <row r="251" spans="1:11" ht="21" customHeight="1" x14ac:dyDescent="0.25">
      <c r="A251" s="56"/>
      <c r="B251" s="56"/>
      <c r="C251" s="56"/>
      <c r="D251" s="8" t="s">
        <v>440</v>
      </c>
      <c r="E251" s="71"/>
      <c r="F251" s="56"/>
      <c r="G251" s="33">
        <v>19363.3</v>
      </c>
      <c r="H251" s="1">
        <v>32403.63</v>
      </c>
      <c r="I251" s="1">
        <v>27449.72</v>
      </c>
      <c r="J251" s="1">
        <v>21734.7</v>
      </c>
      <c r="K251" s="1">
        <v>21744.97</v>
      </c>
    </row>
    <row r="252" spans="1:11" ht="23.25" customHeight="1" x14ac:dyDescent="0.25">
      <c r="A252" s="56"/>
      <c r="B252" s="56"/>
      <c r="C252" s="56"/>
      <c r="D252" s="8" t="s">
        <v>439</v>
      </c>
      <c r="E252" s="65"/>
      <c r="F252" s="57"/>
      <c r="G252" s="33">
        <v>39422.25</v>
      </c>
      <c r="H252" s="1">
        <v>28518.06</v>
      </c>
      <c r="I252" s="1">
        <v>25161.48</v>
      </c>
      <c r="J252" s="1">
        <v>19915.310000000001</v>
      </c>
      <c r="K252" s="1">
        <v>19646.46</v>
      </c>
    </row>
    <row r="253" spans="1:11" ht="31.5" x14ac:dyDescent="0.25">
      <c r="A253" s="56"/>
      <c r="B253" s="56"/>
      <c r="C253" s="56"/>
      <c r="D253" s="8" t="s">
        <v>443</v>
      </c>
      <c r="E253" s="8" t="s">
        <v>447</v>
      </c>
      <c r="F253" s="9" t="s">
        <v>68</v>
      </c>
      <c r="G253" s="10">
        <v>32400</v>
      </c>
      <c r="H253" s="10" t="s">
        <v>165</v>
      </c>
      <c r="I253" s="10" t="s">
        <v>165</v>
      </c>
      <c r="J253" s="10" t="s">
        <v>165</v>
      </c>
      <c r="K253" s="10" t="s">
        <v>165</v>
      </c>
    </row>
    <row r="254" spans="1:11" ht="63" x14ac:dyDescent="0.25">
      <c r="A254" s="57"/>
      <c r="B254" s="56"/>
      <c r="C254" s="57"/>
      <c r="D254" s="8" t="s">
        <v>453</v>
      </c>
      <c r="E254" s="8" t="s">
        <v>15</v>
      </c>
      <c r="F254" s="9" t="s">
        <v>7</v>
      </c>
      <c r="G254" s="33">
        <v>7931</v>
      </c>
      <c r="H254" s="1">
        <v>0</v>
      </c>
      <c r="I254" s="1">
        <v>0</v>
      </c>
      <c r="J254" s="1">
        <v>0</v>
      </c>
      <c r="K254" s="1">
        <v>0</v>
      </c>
    </row>
    <row r="255" spans="1:11" ht="135.75" customHeight="1" x14ac:dyDescent="0.25">
      <c r="A255" s="55" t="s">
        <v>868</v>
      </c>
      <c r="B255" s="56"/>
      <c r="C255" s="55" t="s">
        <v>448</v>
      </c>
      <c r="D255" s="8" t="s">
        <v>449</v>
      </c>
      <c r="E255" s="8" t="s">
        <v>433</v>
      </c>
      <c r="F255" s="9" t="s">
        <v>68</v>
      </c>
      <c r="G255" s="10">
        <v>1197</v>
      </c>
      <c r="H255" s="10">
        <v>5378</v>
      </c>
      <c r="I255" s="10">
        <v>5378</v>
      </c>
      <c r="J255" s="10">
        <v>5378</v>
      </c>
      <c r="K255" s="10">
        <v>5378</v>
      </c>
    </row>
    <row r="256" spans="1:11" ht="32.25" customHeight="1" x14ac:dyDescent="0.25">
      <c r="A256" s="56"/>
      <c r="B256" s="56"/>
      <c r="C256" s="56"/>
      <c r="D256" s="32" t="s">
        <v>1225</v>
      </c>
      <c r="E256" s="64" t="s">
        <v>15</v>
      </c>
      <c r="F256" s="55" t="s">
        <v>7</v>
      </c>
      <c r="G256" s="33">
        <v>32758.799999999999</v>
      </c>
      <c r="H256" s="1">
        <v>36571.53</v>
      </c>
      <c r="I256" s="1">
        <v>27315.279999999999</v>
      </c>
      <c r="J256" s="1">
        <v>21628.240000000002</v>
      </c>
      <c r="K256" s="1">
        <v>21336.25</v>
      </c>
    </row>
    <row r="257" spans="1:11" ht="21.75" customHeight="1" x14ac:dyDescent="0.25">
      <c r="A257" s="56"/>
      <c r="B257" s="56"/>
      <c r="C257" s="56"/>
      <c r="D257" s="8" t="s">
        <v>439</v>
      </c>
      <c r="E257" s="71"/>
      <c r="F257" s="56"/>
      <c r="G257" s="33">
        <v>97622.2</v>
      </c>
      <c r="H257" s="1">
        <v>126010.79</v>
      </c>
      <c r="I257" s="1">
        <v>111179.32</v>
      </c>
      <c r="J257" s="1">
        <v>88031.79</v>
      </c>
      <c r="K257" s="1">
        <v>86843.36</v>
      </c>
    </row>
    <row r="258" spans="1:11" ht="16.5" customHeight="1" x14ac:dyDescent="0.25">
      <c r="A258" s="57"/>
      <c r="B258" s="56"/>
      <c r="C258" s="57"/>
      <c r="D258" s="8" t="s">
        <v>438</v>
      </c>
      <c r="E258" s="65"/>
      <c r="F258" s="57"/>
      <c r="G258" s="33">
        <v>0</v>
      </c>
      <c r="H258" s="1">
        <v>39815.9</v>
      </c>
      <c r="I258" s="1">
        <v>42244.67</v>
      </c>
      <c r="J258" s="1">
        <v>33449.33</v>
      </c>
      <c r="K258" s="1">
        <v>32997.760000000002</v>
      </c>
    </row>
    <row r="259" spans="1:11" ht="35.25" customHeight="1" x14ac:dyDescent="0.25">
      <c r="A259" s="55" t="s">
        <v>869</v>
      </c>
      <c r="B259" s="56"/>
      <c r="C259" s="55" t="s">
        <v>450</v>
      </c>
      <c r="D259" s="8" t="s">
        <v>452</v>
      </c>
      <c r="E259" s="8" t="s">
        <v>451</v>
      </c>
      <c r="F259" s="9" t="s">
        <v>68</v>
      </c>
      <c r="G259" s="10">
        <v>343</v>
      </c>
      <c r="H259" s="10">
        <v>300</v>
      </c>
      <c r="I259" s="10">
        <v>451</v>
      </c>
      <c r="J259" s="10">
        <v>451</v>
      </c>
      <c r="K259" s="10">
        <v>451</v>
      </c>
    </row>
    <row r="260" spans="1:11" ht="63" x14ac:dyDescent="0.25">
      <c r="A260" s="57"/>
      <c r="B260" s="56"/>
      <c r="C260" s="57"/>
      <c r="D260" s="8" t="s">
        <v>1226</v>
      </c>
      <c r="E260" s="8" t="s">
        <v>15</v>
      </c>
      <c r="F260" s="9" t="s">
        <v>7</v>
      </c>
      <c r="G260" s="33">
        <v>9787.7000000000007</v>
      </c>
      <c r="H260" s="1">
        <v>32774.9</v>
      </c>
      <c r="I260" s="1">
        <v>24479.57</v>
      </c>
      <c r="J260" s="1">
        <v>19382.93</v>
      </c>
      <c r="K260" s="1">
        <v>19121.259999999998</v>
      </c>
    </row>
    <row r="261" spans="1:11" ht="33" customHeight="1" x14ac:dyDescent="0.25">
      <c r="A261" s="55" t="s">
        <v>870</v>
      </c>
      <c r="B261" s="56"/>
      <c r="C261" s="55" t="s">
        <v>454</v>
      </c>
      <c r="D261" s="8" t="s">
        <v>455</v>
      </c>
      <c r="E261" s="8" t="s">
        <v>433</v>
      </c>
      <c r="F261" s="9" t="s">
        <v>68</v>
      </c>
      <c r="G261" s="10">
        <v>101</v>
      </c>
      <c r="H261" s="10">
        <v>100</v>
      </c>
      <c r="I261" s="10">
        <v>100</v>
      </c>
      <c r="J261" s="10">
        <v>100</v>
      </c>
      <c r="K261" s="10">
        <v>100</v>
      </c>
    </row>
    <row r="262" spans="1:11" ht="63" x14ac:dyDescent="0.25">
      <c r="A262" s="57"/>
      <c r="B262" s="56"/>
      <c r="C262" s="57"/>
      <c r="D262" s="8" t="s">
        <v>456</v>
      </c>
      <c r="E262" s="8" t="s">
        <v>15</v>
      </c>
      <c r="F262" s="9" t="s">
        <v>7</v>
      </c>
      <c r="G262" s="33">
        <v>2904</v>
      </c>
      <c r="H262" s="1">
        <v>2966.4</v>
      </c>
      <c r="I262" s="1">
        <v>3147.35</v>
      </c>
      <c r="J262" s="1">
        <v>2492.0700000000002</v>
      </c>
      <c r="K262" s="1">
        <v>2458.4299999999998</v>
      </c>
    </row>
    <row r="263" spans="1:11" ht="36" customHeight="1" x14ac:dyDescent="0.25">
      <c r="A263" s="55" t="s">
        <v>871</v>
      </c>
      <c r="B263" s="56"/>
      <c r="C263" s="55" t="s">
        <v>24</v>
      </c>
      <c r="D263" s="8" t="s">
        <v>457</v>
      </c>
      <c r="E263" s="8" t="s">
        <v>36</v>
      </c>
      <c r="F263" s="9" t="s">
        <v>22</v>
      </c>
      <c r="G263" s="10">
        <v>21</v>
      </c>
      <c r="H263" s="10">
        <v>26</v>
      </c>
      <c r="I263" s="10">
        <v>26</v>
      </c>
      <c r="J263" s="10">
        <v>26</v>
      </c>
      <c r="K263" s="10">
        <v>26</v>
      </c>
    </row>
    <row r="264" spans="1:11" ht="50.25" customHeight="1" x14ac:dyDescent="0.25">
      <c r="A264" s="56"/>
      <c r="B264" s="56"/>
      <c r="C264" s="56"/>
      <c r="D264" s="8" t="s">
        <v>1201</v>
      </c>
      <c r="E264" s="64" t="s">
        <v>15</v>
      </c>
      <c r="F264" s="55" t="s">
        <v>7</v>
      </c>
      <c r="G264" s="33">
        <v>7080</v>
      </c>
      <c r="H264" s="1">
        <v>0</v>
      </c>
      <c r="I264" s="1">
        <v>0</v>
      </c>
      <c r="J264" s="1">
        <v>0</v>
      </c>
      <c r="K264" s="1">
        <v>0</v>
      </c>
    </row>
    <row r="265" spans="1:11" ht="15.75" x14ac:dyDescent="0.25">
      <c r="A265" s="56"/>
      <c r="B265" s="56"/>
      <c r="C265" s="56"/>
      <c r="D265" s="8" t="s">
        <v>1204</v>
      </c>
      <c r="E265" s="71"/>
      <c r="F265" s="56"/>
      <c r="G265" s="33">
        <v>0</v>
      </c>
      <c r="H265" s="1">
        <v>7080</v>
      </c>
      <c r="I265" s="1">
        <v>7080</v>
      </c>
      <c r="J265" s="1">
        <v>5605.94</v>
      </c>
      <c r="K265" s="1">
        <v>5530.26</v>
      </c>
    </row>
    <row r="266" spans="1:11" ht="63" customHeight="1" x14ac:dyDescent="0.25">
      <c r="A266" s="69" t="s">
        <v>872</v>
      </c>
      <c r="B266" s="56"/>
      <c r="C266" s="55" t="s">
        <v>25</v>
      </c>
      <c r="D266" s="8" t="s">
        <v>35</v>
      </c>
      <c r="E266" s="8" t="s">
        <v>1205</v>
      </c>
      <c r="F266" s="9" t="s">
        <v>22</v>
      </c>
      <c r="G266" s="10">
        <v>7203</v>
      </c>
      <c r="H266" s="10">
        <v>8918</v>
      </c>
      <c r="I266" s="10">
        <v>8918</v>
      </c>
      <c r="J266" s="10">
        <v>8918</v>
      </c>
      <c r="K266" s="10">
        <v>8918</v>
      </c>
    </row>
    <row r="267" spans="1:11" ht="53.25" customHeight="1" x14ac:dyDescent="0.25">
      <c r="A267" s="69"/>
      <c r="B267" s="56"/>
      <c r="C267" s="56"/>
      <c r="D267" s="8" t="s">
        <v>1201</v>
      </c>
      <c r="E267" s="64" t="s">
        <v>15</v>
      </c>
      <c r="F267" s="55" t="s">
        <v>7</v>
      </c>
      <c r="G267" s="33">
        <v>4720</v>
      </c>
      <c r="H267" s="1">
        <v>0</v>
      </c>
      <c r="I267" s="1">
        <v>0</v>
      </c>
      <c r="J267" s="1">
        <v>0</v>
      </c>
      <c r="K267" s="1">
        <v>0</v>
      </c>
    </row>
    <row r="268" spans="1:11" ht="15.75" x14ac:dyDescent="0.25">
      <c r="A268" s="69"/>
      <c r="B268" s="57"/>
      <c r="C268" s="57"/>
      <c r="D268" s="8" t="s">
        <v>1204</v>
      </c>
      <c r="E268" s="65"/>
      <c r="F268" s="57"/>
      <c r="G268" s="1">
        <v>0</v>
      </c>
      <c r="H268" s="1">
        <v>4720</v>
      </c>
      <c r="I268" s="1">
        <v>4720</v>
      </c>
      <c r="J268" s="1">
        <v>3737.3</v>
      </c>
      <c r="K268" s="1">
        <v>3686.84</v>
      </c>
    </row>
    <row r="269" spans="1:11" ht="63" x14ac:dyDescent="0.25">
      <c r="A269" s="61" t="s">
        <v>1227</v>
      </c>
      <c r="B269" s="62"/>
      <c r="C269" s="62"/>
      <c r="D269" s="63"/>
      <c r="E269" s="13" t="s">
        <v>16</v>
      </c>
      <c r="F269" s="14" t="s">
        <v>7</v>
      </c>
      <c r="G269" s="15">
        <f>G238+G239+G240+G241+G242+G243+G245+G247+G250+G251+G252+G254+G256+G257+G260+G262+G264+G267+G268+G258+G248+G246</f>
        <v>2267034.5900000008</v>
      </c>
      <c r="H269" s="15">
        <f>H238+H239+H240+H241+H242+H243+H245+H247+H250+H251+H252+H254+H256+H257+H260+H262+H264+H267+H268+H258+H248+H246+H265</f>
        <v>2674033.2199999997</v>
      </c>
      <c r="I269" s="15">
        <f t="shared" ref="I269:K269" si="9">I238+I239+I240+I241+I242+I243+I245+I247+I250+I251+I252+I254+I256+I257+I260+I262+I264+I267+I268+I258+I248+I246+I265</f>
        <v>2297614.7999999998</v>
      </c>
      <c r="J269" s="15">
        <f t="shared" si="9"/>
        <v>1819251.71</v>
      </c>
      <c r="K269" s="15">
        <f t="shared" si="9"/>
        <v>1794666.9000000001</v>
      </c>
    </row>
    <row r="270" spans="1:11" ht="63" x14ac:dyDescent="0.25">
      <c r="A270" s="58" t="s">
        <v>460</v>
      </c>
      <c r="B270" s="59"/>
      <c r="C270" s="59"/>
      <c r="D270" s="60"/>
      <c r="E270" s="16" t="s">
        <v>16</v>
      </c>
      <c r="F270" s="17" t="s">
        <v>7</v>
      </c>
      <c r="G270" s="18">
        <f>G269</f>
        <v>2267034.5900000008</v>
      </c>
      <c r="H270" s="18">
        <f t="shared" ref="H270:K270" si="10">H269</f>
        <v>2674033.2199999997</v>
      </c>
      <c r="I270" s="18">
        <f t="shared" si="10"/>
        <v>2297614.7999999998</v>
      </c>
      <c r="J270" s="18">
        <f t="shared" si="10"/>
        <v>1819251.71</v>
      </c>
      <c r="K270" s="18">
        <f t="shared" si="10"/>
        <v>1794666.9000000001</v>
      </c>
    </row>
    <row r="271" spans="1:11" ht="15.75" x14ac:dyDescent="0.25">
      <c r="A271" s="34" t="s">
        <v>873</v>
      </c>
      <c r="B271" s="66" t="s">
        <v>378</v>
      </c>
      <c r="C271" s="67"/>
      <c r="D271" s="67"/>
      <c r="E271" s="67"/>
      <c r="F271" s="67"/>
      <c r="G271" s="68"/>
      <c r="H271" s="19"/>
      <c r="I271" s="19"/>
      <c r="J271" s="19"/>
      <c r="K271" s="19"/>
    </row>
    <row r="272" spans="1:11" ht="63" x14ac:dyDescent="0.25">
      <c r="A272" s="55" t="s">
        <v>874</v>
      </c>
      <c r="B272" s="55" t="s">
        <v>387</v>
      </c>
      <c r="C272" s="55" t="s">
        <v>379</v>
      </c>
      <c r="D272" s="8" t="s">
        <v>385</v>
      </c>
      <c r="E272" s="8" t="s">
        <v>384</v>
      </c>
      <c r="F272" s="9" t="s">
        <v>68</v>
      </c>
      <c r="G272" s="10">
        <v>3295</v>
      </c>
      <c r="H272" s="10">
        <v>3316</v>
      </c>
      <c r="I272" s="10">
        <v>3311</v>
      </c>
      <c r="J272" s="10">
        <v>3111</v>
      </c>
      <c r="K272" s="10">
        <v>3313</v>
      </c>
    </row>
    <row r="273" spans="1:11" ht="35.25" customHeight="1" x14ac:dyDescent="0.25">
      <c r="A273" s="56"/>
      <c r="B273" s="56"/>
      <c r="C273" s="56"/>
      <c r="D273" s="8" t="s">
        <v>386</v>
      </c>
      <c r="E273" s="64" t="s">
        <v>15</v>
      </c>
      <c r="F273" s="55" t="s">
        <v>7</v>
      </c>
      <c r="G273" s="33">
        <v>0</v>
      </c>
      <c r="H273" s="33">
        <v>0</v>
      </c>
      <c r="I273" s="33">
        <v>0</v>
      </c>
      <c r="J273" s="33">
        <v>0</v>
      </c>
      <c r="K273" s="33">
        <v>0</v>
      </c>
    </row>
    <row r="274" spans="1:11" ht="19.5" customHeight="1" x14ac:dyDescent="0.25">
      <c r="A274" s="56"/>
      <c r="B274" s="56"/>
      <c r="C274" s="56"/>
      <c r="D274" s="8" t="s">
        <v>381</v>
      </c>
      <c r="E274" s="71"/>
      <c r="F274" s="56"/>
      <c r="G274" s="33">
        <v>149339.93056000001</v>
      </c>
      <c r="H274" s="1">
        <v>164680.81</v>
      </c>
      <c r="I274" s="1">
        <v>170989.3</v>
      </c>
      <c r="J274" s="1">
        <v>142494.16</v>
      </c>
      <c r="K274" s="1">
        <v>154494.39999999999</v>
      </c>
    </row>
    <row r="275" spans="1:11" ht="17.25" customHeight="1" x14ac:dyDescent="0.25">
      <c r="A275" s="56"/>
      <c r="B275" s="56"/>
      <c r="C275" s="56"/>
      <c r="D275" s="8" t="s">
        <v>382</v>
      </c>
      <c r="E275" s="71"/>
      <c r="F275" s="56"/>
      <c r="G275" s="33">
        <v>23813.126990000001</v>
      </c>
      <c r="H275" s="1">
        <v>10657.6</v>
      </c>
      <c r="I275" s="1">
        <v>10381</v>
      </c>
      <c r="J275" s="1">
        <v>6381.1</v>
      </c>
      <c r="K275" s="1">
        <v>6381.1</v>
      </c>
    </row>
    <row r="276" spans="1:11" ht="18.75" customHeight="1" x14ac:dyDescent="0.25">
      <c r="A276" s="57"/>
      <c r="B276" s="56"/>
      <c r="C276" s="57"/>
      <c r="D276" s="8" t="s">
        <v>383</v>
      </c>
      <c r="E276" s="65"/>
      <c r="F276" s="57"/>
      <c r="G276" s="33">
        <v>1523.2919999999999</v>
      </c>
      <c r="H276" s="1">
        <v>1997.49</v>
      </c>
      <c r="I276" s="1">
        <v>1484.9</v>
      </c>
      <c r="J276" s="1">
        <v>1697.5</v>
      </c>
      <c r="K276" s="1">
        <v>1697.5</v>
      </c>
    </row>
    <row r="277" spans="1:11" ht="63" x14ac:dyDescent="0.25">
      <c r="A277" s="55" t="s">
        <v>875</v>
      </c>
      <c r="B277" s="56"/>
      <c r="C277" s="55" t="s">
        <v>388</v>
      </c>
      <c r="D277" s="8" t="s">
        <v>389</v>
      </c>
      <c r="E277" s="8" t="s">
        <v>384</v>
      </c>
      <c r="F277" s="9" t="s">
        <v>68</v>
      </c>
      <c r="G277" s="10">
        <v>114</v>
      </c>
      <c r="H277" s="10">
        <v>87</v>
      </c>
      <c r="I277" s="10">
        <v>86</v>
      </c>
      <c r="J277" s="10">
        <v>86</v>
      </c>
      <c r="K277" s="10">
        <v>86</v>
      </c>
    </row>
    <row r="278" spans="1:11" ht="31.5" x14ac:dyDescent="0.25">
      <c r="A278" s="56"/>
      <c r="B278" s="56"/>
      <c r="C278" s="56"/>
      <c r="D278" s="8" t="s">
        <v>1653</v>
      </c>
      <c r="E278" s="55" t="s">
        <v>15</v>
      </c>
      <c r="F278" s="55" t="s">
        <v>7</v>
      </c>
      <c r="G278" s="35">
        <v>0</v>
      </c>
      <c r="H278" s="1">
        <v>863.24</v>
      </c>
      <c r="I278" s="1">
        <v>863.24</v>
      </c>
      <c r="J278" s="1">
        <v>863.24</v>
      </c>
      <c r="K278" s="1">
        <v>863.24</v>
      </c>
    </row>
    <row r="279" spans="1:11" ht="63" customHeight="1" x14ac:dyDescent="0.25">
      <c r="A279" s="57"/>
      <c r="B279" s="56"/>
      <c r="C279" s="57"/>
      <c r="D279" s="8" t="s">
        <v>1652</v>
      </c>
      <c r="E279" s="57"/>
      <c r="F279" s="57"/>
      <c r="G279" s="36">
        <v>8391.8438800000004</v>
      </c>
      <c r="H279" s="36">
        <v>9421.5</v>
      </c>
      <c r="I279" s="1">
        <v>8867.67</v>
      </c>
      <c r="J279" s="1">
        <v>7832</v>
      </c>
      <c r="K279" s="1">
        <v>6487.27</v>
      </c>
    </row>
    <row r="280" spans="1:11" ht="63" x14ac:dyDescent="0.25">
      <c r="A280" s="55" t="s">
        <v>876</v>
      </c>
      <c r="B280" s="56"/>
      <c r="C280" s="55" t="s">
        <v>390</v>
      </c>
      <c r="D280" s="8" t="s">
        <v>391</v>
      </c>
      <c r="E280" s="8" t="s">
        <v>384</v>
      </c>
      <c r="F280" s="9" t="s">
        <v>68</v>
      </c>
      <c r="G280" s="10">
        <v>9</v>
      </c>
      <c r="H280" s="10" t="s">
        <v>1654</v>
      </c>
      <c r="I280" s="10" t="s">
        <v>1654</v>
      </c>
      <c r="J280" s="10" t="s">
        <v>1654</v>
      </c>
      <c r="K280" s="10" t="s">
        <v>1654</v>
      </c>
    </row>
    <row r="281" spans="1:11" ht="36" customHeight="1" x14ac:dyDescent="0.25">
      <c r="A281" s="56"/>
      <c r="B281" s="56"/>
      <c r="C281" s="56"/>
      <c r="D281" s="8" t="s">
        <v>386</v>
      </c>
      <c r="E281" s="64" t="s">
        <v>15</v>
      </c>
      <c r="F281" s="55" t="s">
        <v>7</v>
      </c>
      <c r="G281" s="36">
        <v>0</v>
      </c>
      <c r="H281" s="36">
        <v>0</v>
      </c>
      <c r="I281" s="36">
        <v>0</v>
      </c>
      <c r="J281" s="36">
        <v>0</v>
      </c>
      <c r="K281" s="36">
        <v>0</v>
      </c>
    </row>
    <row r="282" spans="1:11" ht="33" customHeight="1" x14ac:dyDescent="0.25">
      <c r="A282" s="57"/>
      <c r="B282" s="56"/>
      <c r="C282" s="57"/>
      <c r="D282" s="8" t="s">
        <v>381</v>
      </c>
      <c r="E282" s="65"/>
      <c r="F282" s="57"/>
      <c r="G282" s="36">
        <v>1234.0539799999999</v>
      </c>
      <c r="H282" s="30">
        <v>198.6</v>
      </c>
      <c r="I282" s="30">
        <v>149.69999999999999</v>
      </c>
      <c r="J282" s="1">
        <v>148.1</v>
      </c>
      <c r="K282" s="1">
        <v>0</v>
      </c>
    </row>
    <row r="283" spans="1:11" ht="17.25" customHeight="1" x14ac:dyDescent="0.25">
      <c r="A283" s="55" t="s">
        <v>877</v>
      </c>
      <c r="B283" s="56"/>
      <c r="C283" s="55" t="s">
        <v>392</v>
      </c>
      <c r="D283" s="8" t="s">
        <v>396</v>
      </c>
      <c r="E283" s="8" t="s">
        <v>393</v>
      </c>
      <c r="F283" s="9" t="s">
        <v>22</v>
      </c>
      <c r="G283" s="10">
        <v>526</v>
      </c>
      <c r="H283" s="10" t="s">
        <v>1654</v>
      </c>
      <c r="I283" s="10" t="s">
        <v>1654</v>
      </c>
      <c r="J283" s="10" t="s">
        <v>1654</v>
      </c>
      <c r="K283" s="10" t="s">
        <v>1654</v>
      </c>
    </row>
    <row r="284" spans="1:11" ht="63" x14ac:dyDescent="0.25">
      <c r="A284" s="57"/>
      <c r="B284" s="56"/>
      <c r="C284" s="57"/>
      <c r="D284" s="8" t="s">
        <v>484</v>
      </c>
      <c r="E284" s="8" t="s">
        <v>15</v>
      </c>
      <c r="F284" s="9" t="s">
        <v>7</v>
      </c>
      <c r="G284" s="36">
        <v>6311.0786699999999</v>
      </c>
      <c r="H284" s="30">
        <v>0</v>
      </c>
      <c r="I284" s="30">
        <v>0</v>
      </c>
      <c r="J284" s="30">
        <v>0</v>
      </c>
      <c r="K284" s="30">
        <v>0</v>
      </c>
    </row>
    <row r="285" spans="1:11" ht="57.75" customHeight="1" x14ac:dyDescent="0.25">
      <c r="A285" s="55" t="s">
        <v>878</v>
      </c>
      <c r="B285" s="56"/>
      <c r="C285" s="55" t="s">
        <v>394</v>
      </c>
      <c r="D285" s="8" t="s">
        <v>397</v>
      </c>
      <c r="E285" s="8" t="s">
        <v>395</v>
      </c>
      <c r="F285" s="9" t="s">
        <v>22</v>
      </c>
      <c r="G285" s="10">
        <v>156</v>
      </c>
      <c r="H285" s="10" t="s">
        <v>1654</v>
      </c>
      <c r="I285" s="10" t="s">
        <v>1654</v>
      </c>
      <c r="J285" s="10" t="s">
        <v>1654</v>
      </c>
      <c r="K285" s="10" t="s">
        <v>1654</v>
      </c>
    </row>
    <row r="286" spans="1:11" ht="63" x14ac:dyDescent="0.25">
      <c r="A286" s="57"/>
      <c r="B286" s="56"/>
      <c r="C286" s="57"/>
      <c r="D286" s="8" t="s">
        <v>484</v>
      </c>
      <c r="E286" s="8" t="s">
        <v>15</v>
      </c>
      <c r="F286" s="9" t="s">
        <v>7</v>
      </c>
      <c r="G286" s="36">
        <v>886.76756999999998</v>
      </c>
      <c r="H286" s="30">
        <v>0</v>
      </c>
      <c r="I286" s="30">
        <v>0</v>
      </c>
      <c r="J286" s="30">
        <v>0</v>
      </c>
      <c r="K286" s="30">
        <v>0</v>
      </c>
    </row>
    <row r="287" spans="1:11" ht="31.5" x14ac:dyDescent="0.25">
      <c r="A287" s="55" t="s">
        <v>879</v>
      </c>
      <c r="B287" s="56"/>
      <c r="C287" s="55" t="s">
        <v>398</v>
      </c>
      <c r="D287" s="8" t="s">
        <v>401</v>
      </c>
      <c r="E287" s="8" t="s">
        <v>403</v>
      </c>
      <c r="F287" s="9" t="s">
        <v>68</v>
      </c>
      <c r="G287" s="10">
        <v>106</v>
      </c>
      <c r="H287" s="10">
        <v>20</v>
      </c>
      <c r="I287" s="10">
        <v>20</v>
      </c>
      <c r="J287" s="10">
        <v>20</v>
      </c>
      <c r="K287" s="1" t="s">
        <v>1654</v>
      </c>
    </row>
    <row r="288" spans="1:11" ht="63" x14ac:dyDescent="0.25">
      <c r="A288" s="57"/>
      <c r="B288" s="56"/>
      <c r="C288" s="57"/>
      <c r="D288" s="8" t="s">
        <v>484</v>
      </c>
      <c r="E288" s="8" t="s">
        <v>15</v>
      </c>
      <c r="F288" s="9" t="s">
        <v>7</v>
      </c>
      <c r="G288" s="36">
        <v>35847.035129999997</v>
      </c>
      <c r="H288" s="1">
        <v>2634.7</v>
      </c>
      <c r="I288" s="1">
        <v>1753.2</v>
      </c>
      <c r="J288" s="1">
        <v>1601.3</v>
      </c>
      <c r="K288" s="1" t="s">
        <v>1654</v>
      </c>
    </row>
    <row r="289" spans="1:11" ht="34.5" customHeight="1" x14ac:dyDescent="0.25">
      <c r="A289" s="55" t="s">
        <v>880</v>
      </c>
      <c r="B289" s="56"/>
      <c r="C289" s="55" t="s">
        <v>399</v>
      </c>
      <c r="D289" s="8" t="s">
        <v>402</v>
      </c>
      <c r="E289" s="8" t="s">
        <v>400</v>
      </c>
      <c r="F289" s="9" t="s">
        <v>68</v>
      </c>
      <c r="G289" s="10">
        <v>137</v>
      </c>
      <c r="H289" s="10" t="s">
        <v>1654</v>
      </c>
      <c r="I289" s="10" t="s">
        <v>1654</v>
      </c>
      <c r="J289" s="10" t="s">
        <v>1654</v>
      </c>
      <c r="K289" s="10" t="s">
        <v>1654</v>
      </c>
    </row>
    <row r="290" spans="1:11" ht="34.5" customHeight="1" x14ac:dyDescent="0.25">
      <c r="A290" s="56"/>
      <c r="B290" s="56"/>
      <c r="C290" s="56"/>
      <c r="D290" s="8" t="s">
        <v>386</v>
      </c>
      <c r="E290" s="64" t="s">
        <v>15</v>
      </c>
      <c r="F290" s="55" t="s">
        <v>7</v>
      </c>
      <c r="G290" s="36">
        <v>0</v>
      </c>
      <c r="H290" s="36">
        <v>0</v>
      </c>
      <c r="I290" s="36">
        <v>0</v>
      </c>
      <c r="J290" s="36">
        <v>0</v>
      </c>
      <c r="K290" s="36">
        <v>0</v>
      </c>
    </row>
    <row r="291" spans="1:11" ht="15.75" x14ac:dyDescent="0.25">
      <c r="A291" s="56"/>
      <c r="B291" s="56"/>
      <c r="C291" s="56"/>
      <c r="D291" s="8" t="s">
        <v>381</v>
      </c>
      <c r="E291" s="71"/>
      <c r="F291" s="56"/>
      <c r="G291" s="36">
        <v>585.053</v>
      </c>
      <c r="H291" s="1">
        <v>741.3</v>
      </c>
      <c r="I291" s="1">
        <v>559.1</v>
      </c>
      <c r="J291" s="1">
        <v>553</v>
      </c>
      <c r="K291" s="1">
        <v>0</v>
      </c>
    </row>
    <row r="292" spans="1:11" ht="15.75" x14ac:dyDescent="0.25">
      <c r="A292" s="57"/>
      <c r="B292" s="56"/>
      <c r="C292" s="57"/>
      <c r="D292" s="8" t="s">
        <v>382</v>
      </c>
      <c r="E292" s="65"/>
      <c r="F292" s="57"/>
      <c r="G292" s="36">
        <v>937.01631999999995</v>
      </c>
      <c r="H292" s="1">
        <v>822.69</v>
      </c>
      <c r="I292" s="1">
        <v>822.69</v>
      </c>
      <c r="J292" s="1">
        <v>822.69</v>
      </c>
      <c r="K292" s="1">
        <v>822.69</v>
      </c>
    </row>
    <row r="293" spans="1:11" ht="22.5" customHeight="1" x14ac:dyDescent="0.25">
      <c r="A293" s="55" t="s">
        <v>881</v>
      </c>
      <c r="B293" s="56"/>
      <c r="C293" s="55" t="s">
        <v>408</v>
      </c>
      <c r="D293" s="8" t="s">
        <v>405</v>
      </c>
      <c r="E293" s="8" t="s">
        <v>370</v>
      </c>
      <c r="F293" s="9" t="s">
        <v>61</v>
      </c>
      <c r="G293" s="10">
        <v>14</v>
      </c>
      <c r="H293" s="10">
        <v>16</v>
      </c>
      <c r="I293" s="10">
        <v>16</v>
      </c>
      <c r="J293" s="10">
        <v>16</v>
      </c>
      <c r="K293" s="10">
        <v>16</v>
      </c>
    </row>
    <row r="294" spans="1:11" ht="48.75" customHeight="1" x14ac:dyDescent="0.25">
      <c r="A294" s="56"/>
      <c r="B294" s="56"/>
      <c r="C294" s="56"/>
      <c r="D294" s="8" t="s">
        <v>407</v>
      </c>
      <c r="E294" s="55" t="s">
        <v>15</v>
      </c>
      <c r="F294" s="55" t="s">
        <v>7</v>
      </c>
      <c r="G294" s="33">
        <v>0</v>
      </c>
      <c r="H294" s="33">
        <v>0</v>
      </c>
      <c r="I294" s="33">
        <v>0</v>
      </c>
      <c r="J294" s="33">
        <v>0</v>
      </c>
      <c r="K294" s="33">
        <v>0</v>
      </c>
    </row>
    <row r="295" spans="1:11" ht="48.75" customHeight="1" x14ac:dyDescent="0.25">
      <c r="A295" s="56"/>
      <c r="B295" s="56"/>
      <c r="C295" s="56"/>
      <c r="D295" s="8" t="s">
        <v>382</v>
      </c>
      <c r="E295" s="56"/>
      <c r="F295" s="56"/>
      <c r="G295" s="33">
        <v>0</v>
      </c>
      <c r="H295" s="1">
        <v>777.12</v>
      </c>
      <c r="I295" s="1">
        <v>777.12</v>
      </c>
      <c r="J295" s="1">
        <v>777.12</v>
      </c>
      <c r="K295" s="1">
        <v>777.12</v>
      </c>
    </row>
    <row r="296" spans="1:11" ht="15.75" x14ac:dyDescent="0.25">
      <c r="A296" s="57"/>
      <c r="B296" s="56"/>
      <c r="C296" s="57"/>
      <c r="D296" s="8" t="s">
        <v>381</v>
      </c>
      <c r="E296" s="57"/>
      <c r="F296" s="57"/>
      <c r="G296" s="33">
        <v>1728.6411499999999</v>
      </c>
      <c r="H296" s="1">
        <v>2130</v>
      </c>
      <c r="I296" s="1">
        <v>1417.3</v>
      </c>
      <c r="J296" s="1">
        <v>1294.5</v>
      </c>
      <c r="K296" s="1">
        <v>0</v>
      </c>
    </row>
    <row r="297" spans="1:11" ht="21" customHeight="1" x14ac:dyDescent="0.25">
      <c r="A297" s="55" t="s">
        <v>882</v>
      </c>
      <c r="B297" s="56"/>
      <c r="C297" s="55" t="s">
        <v>404</v>
      </c>
      <c r="D297" s="8" t="s">
        <v>406</v>
      </c>
      <c r="E297" s="8" t="s">
        <v>370</v>
      </c>
      <c r="F297" s="9" t="s">
        <v>61</v>
      </c>
      <c r="G297" s="10">
        <v>10</v>
      </c>
      <c r="H297" s="10">
        <v>10</v>
      </c>
      <c r="I297" s="10">
        <v>10</v>
      </c>
      <c r="J297" s="10">
        <v>10</v>
      </c>
      <c r="K297" s="10">
        <v>10</v>
      </c>
    </row>
    <row r="298" spans="1:11" ht="63" x14ac:dyDescent="0.25">
      <c r="A298" s="57"/>
      <c r="B298" s="56"/>
      <c r="C298" s="57"/>
      <c r="D298" s="8" t="s">
        <v>484</v>
      </c>
      <c r="E298" s="8" t="s">
        <v>15</v>
      </c>
      <c r="F298" s="9" t="s">
        <v>7</v>
      </c>
      <c r="G298" s="33">
        <v>1219.0417299999999</v>
      </c>
      <c r="H298" s="1">
        <v>1502.1</v>
      </c>
      <c r="I298" s="1">
        <v>999.5</v>
      </c>
      <c r="J298" s="1">
        <v>912.9</v>
      </c>
      <c r="K298" s="1">
        <v>0</v>
      </c>
    </row>
    <row r="299" spans="1:11" ht="24" customHeight="1" x14ac:dyDescent="0.25">
      <c r="A299" s="55" t="s">
        <v>883</v>
      </c>
      <c r="B299" s="56"/>
      <c r="C299" s="55" t="s">
        <v>409</v>
      </c>
      <c r="D299" s="8" t="s">
        <v>410</v>
      </c>
      <c r="E299" s="8" t="s">
        <v>370</v>
      </c>
      <c r="F299" s="9" t="s">
        <v>61</v>
      </c>
      <c r="G299" s="10">
        <v>2</v>
      </c>
      <c r="H299" s="10">
        <v>2</v>
      </c>
      <c r="I299" s="10">
        <v>2</v>
      </c>
      <c r="J299" s="10">
        <v>2</v>
      </c>
      <c r="K299" s="10">
        <v>2</v>
      </c>
    </row>
    <row r="300" spans="1:11" ht="37.5" customHeight="1" x14ac:dyDescent="0.25">
      <c r="A300" s="56"/>
      <c r="B300" s="56"/>
      <c r="C300" s="56"/>
      <c r="D300" s="8" t="s">
        <v>407</v>
      </c>
      <c r="E300" s="64" t="s">
        <v>15</v>
      </c>
      <c r="F300" s="55" t="s">
        <v>7</v>
      </c>
      <c r="G300" s="33">
        <v>0</v>
      </c>
      <c r="H300" s="33">
        <v>0</v>
      </c>
      <c r="I300" s="33">
        <v>0</v>
      </c>
      <c r="J300" s="33">
        <v>0</v>
      </c>
      <c r="K300" s="33">
        <v>0</v>
      </c>
    </row>
    <row r="301" spans="1:11" ht="24.75" customHeight="1" x14ac:dyDescent="0.25">
      <c r="A301" s="57"/>
      <c r="B301" s="56"/>
      <c r="C301" s="57"/>
      <c r="D301" s="8" t="s">
        <v>381</v>
      </c>
      <c r="E301" s="65"/>
      <c r="F301" s="57"/>
      <c r="G301" s="33">
        <v>2308.1855799999998</v>
      </c>
      <c r="H301" s="1">
        <v>2844.1</v>
      </c>
      <c r="I301" s="1">
        <v>1892.5</v>
      </c>
      <c r="J301" s="1">
        <v>1728.5</v>
      </c>
      <c r="K301" s="1">
        <v>0</v>
      </c>
    </row>
    <row r="302" spans="1:11" ht="19.5" customHeight="1" x14ac:dyDescent="0.25">
      <c r="A302" s="55" t="s">
        <v>884</v>
      </c>
      <c r="B302" s="56"/>
      <c r="C302" s="55" t="s">
        <v>412</v>
      </c>
      <c r="D302" s="8" t="s">
        <v>411</v>
      </c>
      <c r="E302" s="8" t="s">
        <v>370</v>
      </c>
      <c r="F302" s="9" t="s">
        <v>61</v>
      </c>
      <c r="G302" s="10">
        <v>14</v>
      </c>
      <c r="H302" s="10">
        <v>16</v>
      </c>
      <c r="I302" s="10">
        <v>16</v>
      </c>
      <c r="J302" s="10">
        <v>16</v>
      </c>
      <c r="K302" s="10">
        <v>16</v>
      </c>
    </row>
    <row r="303" spans="1:11" ht="30.75" customHeight="1" x14ac:dyDescent="0.25">
      <c r="A303" s="56"/>
      <c r="B303" s="56"/>
      <c r="C303" s="56"/>
      <c r="D303" s="8" t="s">
        <v>407</v>
      </c>
      <c r="E303" s="64" t="s">
        <v>15</v>
      </c>
      <c r="F303" s="55" t="s">
        <v>7</v>
      </c>
      <c r="G303" s="33">
        <v>0</v>
      </c>
      <c r="H303" s="33">
        <v>0</v>
      </c>
      <c r="I303" s="33">
        <v>0</v>
      </c>
      <c r="J303" s="33">
        <v>0</v>
      </c>
      <c r="K303" s="33">
        <v>0</v>
      </c>
    </row>
    <row r="304" spans="1:11" ht="18.75" customHeight="1" x14ac:dyDescent="0.25">
      <c r="A304" s="56"/>
      <c r="B304" s="56"/>
      <c r="C304" s="56"/>
      <c r="D304" s="8" t="s">
        <v>381</v>
      </c>
      <c r="E304" s="71"/>
      <c r="F304" s="56"/>
      <c r="G304" s="33">
        <v>2597.9577899999999</v>
      </c>
      <c r="H304" s="1">
        <v>3201.1</v>
      </c>
      <c r="I304" s="1">
        <v>2130</v>
      </c>
      <c r="J304" s="1">
        <v>1945.5</v>
      </c>
      <c r="K304" s="1">
        <v>0</v>
      </c>
    </row>
    <row r="305" spans="1:11" ht="18.75" customHeight="1" x14ac:dyDescent="0.25">
      <c r="A305" s="57"/>
      <c r="B305" s="56"/>
      <c r="C305" s="57"/>
      <c r="D305" s="8" t="s">
        <v>382</v>
      </c>
      <c r="E305" s="65"/>
      <c r="F305" s="57"/>
      <c r="G305" s="33">
        <v>1423.4664700000001</v>
      </c>
      <c r="H305" s="1">
        <v>6460.76</v>
      </c>
      <c r="I305" s="1">
        <v>6460.76</v>
      </c>
      <c r="J305" s="1">
        <v>6460.76</v>
      </c>
      <c r="K305" s="1">
        <v>6460.76</v>
      </c>
    </row>
    <row r="306" spans="1:11" ht="17.25" customHeight="1" x14ac:dyDescent="0.25">
      <c r="A306" s="55" t="s">
        <v>885</v>
      </c>
      <c r="B306" s="56"/>
      <c r="C306" s="55" t="s">
        <v>413</v>
      </c>
      <c r="D306" s="8" t="s">
        <v>416</v>
      </c>
      <c r="E306" s="8" t="s">
        <v>370</v>
      </c>
      <c r="F306" s="9" t="s">
        <v>22</v>
      </c>
      <c r="G306" s="10">
        <v>1</v>
      </c>
      <c r="H306" s="10">
        <v>1</v>
      </c>
      <c r="I306" s="10">
        <v>1</v>
      </c>
      <c r="J306" s="10">
        <v>1</v>
      </c>
      <c r="K306" s="10">
        <v>1</v>
      </c>
    </row>
    <row r="307" spans="1:11" ht="63" x14ac:dyDescent="0.25">
      <c r="A307" s="57"/>
      <c r="B307" s="56"/>
      <c r="C307" s="57"/>
      <c r="D307" s="8" t="s">
        <v>418</v>
      </c>
      <c r="E307" s="8" t="s">
        <v>15</v>
      </c>
      <c r="F307" s="9" t="s">
        <v>7</v>
      </c>
      <c r="G307" s="33">
        <v>1113.59692</v>
      </c>
      <c r="H307" s="1">
        <v>2955.46</v>
      </c>
      <c r="I307" s="1">
        <v>2955.46</v>
      </c>
      <c r="J307" s="1">
        <v>2955.46</v>
      </c>
      <c r="K307" s="1">
        <v>2955.46</v>
      </c>
    </row>
    <row r="308" spans="1:11" ht="108.75" customHeight="1" x14ac:dyDescent="0.25">
      <c r="A308" s="55" t="s">
        <v>886</v>
      </c>
      <c r="B308" s="56"/>
      <c r="C308" s="55" t="s">
        <v>414</v>
      </c>
      <c r="D308" s="8" t="s">
        <v>417</v>
      </c>
      <c r="E308" s="8" t="s">
        <v>415</v>
      </c>
      <c r="F308" s="9" t="s">
        <v>380</v>
      </c>
      <c r="G308" s="9">
        <v>67</v>
      </c>
      <c r="H308" s="9">
        <v>70</v>
      </c>
      <c r="I308" s="9">
        <v>60</v>
      </c>
      <c r="J308" s="9">
        <v>60</v>
      </c>
      <c r="K308" s="9">
        <v>60</v>
      </c>
    </row>
    <row r="309" spans="1:11" ht="133.5" customHeight="1" x14ac:dyDescent="0.25">
      <c r="A309" s="57"/>
      <c r="B309" s="56"/>
      <c r="C309" s="57"/>
      <c r="D309" s="8" t="s">
        <v>419</v>
      </c>
      <c r="E309" s="8" t="s">
        <v>15</v>
      </c>
      <c r="F309" s="9" t="s">
        <v>6</v>
      </c>
      <c r="G309" s="33">
        <v>15287.25488</v>
      </c>
      <c r="H309" s="1">
        <v>15831.45</v>
      </c>
      <c r="I309" s="1">
        <v>12391.07</v>
      </c>
      <c r="J309" s="1">
        <v>10625.27</v>
      </c>
      <c r="K309" s="1">
        <v>11382.47</v>
      </c>
    </row>
    <row r="310" spans="1:11" ht="15.75" x14ac:dyDescent="0.25">
      <c r="A310" s="55" t="s">
        <v>887</v>
      </c>
      <c r="B310" s="56"/>
      <c r="C310" s="55" t="s">
        <v>420</v>
      </c>
      <c r="D310" s="8" t="s">
        <v>421</v>
      </c>
      <c r="E310" s="8" t="s">
        <v>415</v>
      </c>
      <c r="F310" s="9" t="s">
        <v>380</v>
      </c>
      <c r="G310" s="9">
        <v>64</v>
      </c>
      <c r="H310" s="9" t="s">
        <v>1654</v>
      </c>
      <c r="I310" s="9" t="s">
        <v>1654</v>
      </c>
      <c r="J310" s="9" t="s">
        <v>1654</v>
      </c>
      <c r="K310" s="9" t="s">
        <v>1654</v>
      </c>
    </row>
    <row r="311" spans="1:11" ht="34.5" customHeight="1" x14ac:dyDescent="0.25">
      <c r="A311" s="56"/>
      <c r="B311" s="56"/>
      <c r="C311" s="56"/>
      <c r="D311" s="8" t="s">
        <v>386</v>
      </c>
      <c r="E311" s="64" t="s">
        <v>15</v>
      </c>
      <c r="F311" s="55" t="s">
        <v>6</v>
      </c>
      <c r="G311" s="33">
        <v>0</v>
      </c>
      <c r="H311" s="33">
        <v>0</v>
      </c>
      <c r="I311" s="33">
        <v>0</v>
      </c>
      <c r="J311" s="33">
        <v>0</v>
      </c>
      <c r="K311" s="33">
        <v>0</v>
      </c>
    </row>
    <row r="312" spans="1:11" ht="23.25" customHeight="1" x14ac:dyDescent="0.25">
      <c r="A312" s="56"/>
      <c r="B312" s="56"/>
      <c r="C312" s="56"/>
      <c r="D312" s="8" t="s">
        <v>381</v>
      </c>
      <c r="E312" s="71"/>
      <c r="F312" s="56"/>
      <c r="G312" s="33">
        <v>1608.894</v>
      </c>
      <c r="H312" s="1">
        <v>1543.8</v>
      </c>
      <c r="I312" s="1">
        <v>1164.3</v>
      </c>
      <c r="J312" s="1">
        <v>1152</v>
      </c>
      <c r="K312" s="1">
        <v>0</v>
      </c>
    </row>
    <row r="313" spans="1:11" ht="18.75" customHeight="1" x14ac:dyDescent="0.25">
      <c r="A313" s="57"/>
      <c r="B313" s="56"/>
      <c r="C313" s="57"/>
      <c r="D313" s="8" t="s">
        <v>383</v>
      </c>
      <c r="E313" s="65"/>
      <c r="F313" s="57"/>
      <c r="G313" s="33">
        <v>2428.0117399999999</v>
      </c>
      <c r="H313" s="1">
        <v>2727.64</v>
      </c>
      <c r="I313" s="1">
        <v>2883.2</v>
      </c>
      <c r="J313" s="1">
        <v>2608.1999999999998</v>
      </c>
      <c r="K313" s="1">
        <v>2608.1999999999998</v>
      </c>
    </row>
    <row r="314" spans="1:11" ht="15.75" x14ac:dyDescent="0.25">
      <c r="A314" s="55" t="s">
        <v>888</v>
      </c>
      <c r="B314" s="56"/>
      <c r="C314" s="55" t="s">
        <v>422</v>
      </c>
      <c r="D314" s="8" t="s">
        <v>424</v>
      </c>
      <c r="E314" s="8" t="s">
        <v>415</v>
      </c>
      <c r="F314" s="9" t="s">
        <v>68</v>
      </c>
      <c r="G314" s="9">
        <v>56</v>
      </c>
      <c r="H314" s="9" t="s">
        <v>1654</v>
      </c>
      <c r="I314" s="9" t="s">
        <v>1654</v>
      </c>
      <c r="J314" s="9" t="s">
        <v>1654</v>
      </c>
      <c r="K314" s="9" t="s">
        <v>1654</v>
      </c>
    </row>
    <row r="315" spans="1:11" ht="30" customHeight="1" x14ac:dyDescent="0.25">
      <c r="A315" s="56"/>
      <c r="B315" s="56"/>
      <c r="C315" s="56"/>
      <c r="D315" s="8" t="s">
        <v>386</v>
      </c>
      <c r="E315" s="64" t="s">
        <v>15</v>
      </c>
      <c r="F315" s="55" t="s">
        <v>7</v>
      </c>
      <c r="G315" s="33">
        <v>0</v>
      </c>
      <c r="H315" s="33">
        <v>0</v>
      </c>
      <c r="I315" s="33">
        <v>0</v>
      </c>
      <c r="J315" s="33">
        <v>0</v>
      </c>
      <c r="K315" s="33">
        <v>0</v>
      </c>
    </row>
    <row r="316" spans="1:11" ht="19.5" customHeight="1" x14ac:dyDescent="0.25">
      <c r="A316" s="56"/>
      <c r="B316" s="56"/>
      <c r="C316" s="56"/>
      <c r="D316" s="8" t="s">
        <v>383</v>
      </c>
      <c r="E316" s="71"/>
      <c r="F316" s="56"/>
      <c r="G316" s="33">
        <v>837.82147999999995</v>
      </c>
      <c r="H316" s="1">
        <v>2668.4169999999999</v>
      </c>
      <c r="I316" s="1">
        <v>2988.1</v>
      </c>
      <c r="J316" s="1">
        <v>2225.1</v>
      </c>
      <c r="K316" s="1">
        <v>2225.1</v>
      </c>
    </row>
    <row r="317" spans="1:11" ht="18.75" customHeight="1" x14ac:dyDescent="0.25">
      <c r="A317" s="57"/>
      <c r="B317" s="56"/>
      <c r="C317" s="57"/>
      <c r="D317" s="8" t="s">
        <v>381</v>
      </c>
      <c r="E317" s="65"/>
      <c r="F317" s="57"/>
      <c r="G317" s="33">
        <v>1218.8589999999999</v>
      </c>
      <c r="H317" s="1">
        <v>1543.8</v>
      </c>
      <c r="I317" s="1">
        <v>1164.3</v>
      </c>
      <c r="J317" s="1">
        <v>1151.7</v>
      </c>
      <c r="K317" s="1">
        <v>0</v>
      </c>
    </row>
    <row r="318" spans="1:11" ht="18.75" customHeight="1" x14ac:dyDescent="0.25">
      <c r="A318" s="55" t="s">
        <v>889</v>
      </c>
      <c r="B318" s="56"/>
      <c r="C318" s="55" t="s">
        <v>423</v>
      </c>
      <c r="D318" s="8" t="s">
        <v>425</v>
      </c>
      <c r="E318" s="8" t="s">
        <v>415</v>
      </c>
      <c r="F318" s="9" t="s">
        <v>68</v>
      </c>
      <c r="G318" s="11">
        <v>0</v>
      </c>
      <c r="H318" s="11">
        <v>0</v>
      </c>
      <c r="I318" s="11">
        <v>0</v>
      </c>
      <c r="J318" s="11">
        <v>0</v>
      </c>
      <c r="K318" s="11">
        <v>0</v>
      </c>
    </row>
    <row r="319" spans="1:11" ht="63" x14ac:dyDescent="0.25">
      <c r="A319" s="57"/>
      <c r="B319" s="57"/>
      <c r="C319" s="57"/>
      <c r="D319" s="8" t="s">
        <v>426</v>
      </c>
      <c r="E319" s="8" t="s">
        <v>15</v>
      </c>
      <c r="F319" s="9" t="s">
        <v>7</v>
      </c>
      <c r="G319" s="33">
        <v>0</v>
      </c>
      <c r="H319" s="33">
        <v>0</v>
      </c>
      <c r="I319" s="33">
        <v>0</v>
      </c>
      <c r="J319" s="33">
        <v>0</v>
      </c>
      <c r="K319" s="33">
        <v>0</v>
      </c>
    </row>
    <row r="320" spans="1:11" ht="63" customHeight="1" x14ac:dyDescent="0.25">
      <c r="A320" s="61" t="s">
        <v>427</v>
      </c>
      <c r="B320" s="62"/>
      <c r="C320" s="62"/>
      <c r="D320" s="63"/>
      <c r="E320" s="13" t="s">
        <v>16</v>
      </c>
      <c r="F320" s="14" t="s">
        <v>7</v>
      </c>
      <c r="G320" s="15">
        <f>G319+G317+G316+G315+G313+G312+G311+G309+G307+G305+G304+G303+G301+G300+G298+G296+G294+G292+G291+G290+G288+G286+G284+G282+G281+G279+G276+G275+G274+G273</f>
        <v>260640.92884000001</v>
      </c>
      <c r="H320" s="37">
        <f>H273+H274+H275+H276+H278+H279+H281+H282+H284+H286+H288+H290+H291+H292+H294+H295+H296+H298+H300+H301+H303+H304+H305+H307+H309+H311+H312+H313+H315+H316+H317+H319</f>
        <v>236203.677</v>
      </c>
      <c r="I320" s="15">
        <f>I273+I274+I275+I276+I278+I279+I281+I282+I284+I286+I288+I290+I291+I292+I294+I295+I296+I298++I300+I301+I303+I304+I305+I307+I309+I311+I312+I313+I315+I316+I317+I319</f>
        <v>233094.41</v>
      </c>
      <c r="J320" s="15">
        <f>J273+J274+J275+J276+J278+J279+J281+J282+J284+J286+J288+J290+J291+J292+J294+J295+J296+J298+J300+J301+J303+J304+J305+J307+J309+J311+J312+J313+J315+J316+J317+J319</f>
        <v>196230.1</v>
      </c>
      <c r="K320" s="15">
        <f>K273+K274+K275+K276+K278+K279+K281+K282+K284+K286+K290+K291+K292+K294+K295+K296+K298+K300++K301+K304+K305+K307+K309+K313+K316+K317+K319</f>
        <v>197155.31</v>
      </c>
    </row>
    <row r="321" spans="1:12" ht="63" customHeight="1" x14ac:dyDescent="0.25">
      <c r="A321" s="58" t="s">
        <v>428</v>
      </c>
      <c r="B321" s="59"/>
      <c r="C321" s="59"/>
      <c r="D321" s="60"/>
      <c r="E321" s="16" t="s">
        <v>16</v>
      </c>
      <c r="F321" s="17" t="s">
        <v>7</v>
      </c>
      <c r="G321" s="18">
        <f>G320</f>
        <v>260640.92884000001</v>
      </c>
      <c r="H321" s="18">
        <v>236203.7</v>
      </c>
      <c r="I321" s="18">
        <v>233094.39999999999</v>
      </c>
      <c r="J321" s="18">
        <v>196230.1</v>
      </c>
      <c r="K321" s="18">
        <v>197155.3</v>
      </c>
    </row>
    <row r="322" spans="1:12" ht="15.75" customHeight="1" x14ac:dyDescent="0.25">
      <c r="A322" s="29" t="s">
        <v>890</v>
      </c>
      <c r="B322" s="66" t="s">
        <v>222</v>
      </c>
      <c r="C322" s="67"/>
      <c r="D322" s="67"/>
      <c r="E322" s="67"/>
      <c r="F322" s="67"/>
      <c r="G322" s="67"/>
      <c r="H322" s="67"/>
      <c r="I322" s="67"/>
      <c r="J322" s="67"/>
      <c r="K322" s="68"/>
    </row>
    <row r="323" spans="1:12" ht="26.25" customHeight="1" x14ac:dyDescent="0.25">
      <c r="A323" s="55" t="s">
        <v>891</v>
      </c>
      <c r="B323" s="72" t="s">
        <v>1214</v>
      </c>
      <c r="C323" s="55" t="s">
        <v>223</v>
      </c>
      <c r="D323" s="8" t="s">
        <v>230</v>
      </c>
      <c r="E323" s="8" t="s">
        <v>458</v>
      </c>
      <c r="F323" s="9" t="s">
        <v>1206</v>
      </c>
      <c r="G323" s="10">
        <v>955</v>
      </c>
      <c r="H323" s="10" t="s">
        <v>165</v>
      </c>
      <c r="I323" s="10" t="s">
        <v>165</v>
      </c>
      <c r="J323" s="10" t="s">
        <v>165</v>
      </c>
      <c r="K323" s="10" t="s">
        <v>165</v>
      </c>
    </row>
    <row r="324" spans="1:12" ht="22.5" customHeight="1" x14ac:dyDescent="0.25">
      <c r="A324" s="56"/>
      <c r="B324" s="73"/>
      <c r="C324" s="56"/>
      <c r="D324" s="8" t="s">
        <v>1207</v>
      </c>
      <c r="E324" s="8" t="s">
        <v>458</v>
      </c>
      <c r="F324" s="9" t="s">
        <v>1206</v>
      </c>
      <c r="G324" s="35" t="s">
        <v>165</v>
      </c>
      <c r="H324" s="10">
        <v>955</v>
      </c>
      <c r="I324" s="10">
        <v>804</v>
      </c>
      <c r="J324" s="10">
        <v>782</v>
      </c>
      <c r="K324" s="10">
        <v>771</v>
      </c>
    </row>
    <row r="325" spans="1:12" ht="63" x14ac:dyDescent="0.25">
      <c r="A325" s="57"/>
      <c r="B325" s="73"/>
      <c r="C325" s="57"/>
      <c r="D325" s="8" t="s">
        <v>485</v>
      </c>
      <c r="E325" s="8" t="s">
        <v>15</v>
      </c>
      <c r="F325" s="9" t="s">
        <v>224</v>
      </c>
      <c r="G325" s="33">
        <v>6627.5870000000004</v>
      </c>
      <c r="H325" s="33">
        <v>7687.2</v>
      </c>
      <c r="I325" s="33">
        <v>6312.2</v>
      </c>
      <c r="J325" s="33">
        <v>6139</v>
      </c>
      <c r="K325" s="33">
        <v>6056.6</v>
      </c>
    </row>
    <row r="326" spans="1:12" ht="63.75" customHeight="1" x14ac:dyDescent="0.25">
      <c r="A326" s="55" t="s">
        <v>892</v>
      </c>
      <c r="B326" s="73"/>
      <c r="C326" s="55" t="s">
        <v>150</v>
      </c>
      <c r="D326" s="8" t="s">
        <v>153</v>
      </c>
      <c r="E326" s="8" t="s">
        <v>225</v>
      </c>
      <c r="F326" s="9" t="s">
        <v>226</v>
      </c>
      <c r="G326" s="10">
        <v>1095060</v>
      </c>
      <c r="H326" s="10" t="s">
        <v>165</v>
      </c>
      <c r="I326" s="10" t="s">
        <v>165</v>
      </c>
      <c r="J326" s="10" t="s">
        <v>165</v>
      </c>
      <c r="K326" s="10" t="s">
        <v>165</v>
      </c>
      <c r="L326" s="38"/>
    </row>
    <row r="327" spans="1:12" ht="31.5" x14ac:dyDescent="0.25">
      <c r="A327" s="56"/>
      <c r="B327" s="73"/>
      <c r="C327" s="56"/>
      <c r="D327" s="8" t="s">
        <v>1217</v>
      </c>
      <c r="E327" s="8" t="s">
        <v>243</v>
      </c>
      <c r="F327" s="9" t="s">
        <v>22</v>
      </c>
      <c r="G327" s="35" t="s">
        <v>165</v>
      </c>
      <c r="H327" s="10">
        <v>131</v>
      </c>
      <c r="I327" s="10">
        <v>131</v>
      </c>
      <c r="J327" s="10">
        <v>131</v>
      </c>
      <c r="K327" s="10">
        <v>131</v>
      </c>
    </row>
    <row r="328" spans="1:12" ht="63" x14ac:dyDescent="0.25">
      <c r="A328" s="57"/>
      <c r="B328" s="73"/>
      <c r="C328" s="57"/>
      <c r="D328" s="8" t="s">
        <v>486</v>
      </c>
      <c r="E328" s="8" t="s">
        <v>15</v>
      </c>
      <c r="F328" s="9" t="s">
        <v>224</v>
      </c>
      <c r="G328" s="33">
        <v>13268.09</v>
      </c>
      <c r="H328" s="33">
        <v>13324</v>
      </c>
      <c r="I328" s="33">
        <v>9313.1</v>
      </c>
      <c r="J328" s="33">
        <v>9084.9</v>
      </c>
      <c r="K328" s="33">
        <v>8954.7000000000007</v>
      </c>
    </row>
    <row r="329" spans="1:12" ht="34.5" customHeight="1" x14ac:dyDescent="0.25">
      <c r="A329" s="55" t="s">
        <v>893</v>
      </c>
      <c r="B329" s="73"/>
      <c r="C329" s="55" t="s">
        <v>1220</v>
      </c>
      <c r="D329" s="8" t="s">
        <v>231</v>
      </c>
      <c r="E329" s="8" t="s">
        <v>1222</v>
      </c>
      <c r="F329" s="9" t="s">
        <v>1210</v>
      </c>
      <c r="G329" s="10">
        <v>2370</v>
      </c>
      <c r="H329" s="35" t="s">
        <v>165</v>
      </c>
      <c r="I329" s="35" t="s">
        <v>165</v>
      </c>
      <c r="J329" s="35" t="s">
        <v>165</v>
      </c>
      <c r="K329" s="35" t="s">
        <v>165</v>
      </c>
    </row>
    <row r="330" spans="1:12" ht="43.5" customHeight="1" x14ac:dyDescent="0.25">
      <c r="A330" s="56"/>
      <c r="B330" s="73"/>
      <c r="C330" s="56"/>
      <c r="D330" s="8" t="s">
        <v>1209</v>
      </c>
      <c r="E330" s="8" t="s">
        <v>1222</v>
      </c>
      <c r="F330" s="9" t="s">
        <v>1210</v>
      </c>
      <c r="G330" s="35" t="s">
        <v>165</v>
      </c>
      <c r="H330" s="35">
        <v>2370</v>
      </c>
      <c r="I330" s="35">
        <v>1995</v>
      </c>
      <c r="J330" s="35">
        <v>1890</v>
      </c>
      <c r="K330" s="10">
        <v>2199</v>
      </c>
      <c r="L330" s="39"/>
    </row>
    <row r="331" spans="1:12" ht="96" customHeight="1" x14ac:dyDescent="0.25">
      <c r="A331" s="57"/>
      <c r="B331" s="73"/>
      <c r="C331" s="57"/>
      <c r="D331" s="8" t="s">
        <v>487</v>
      </c>
      <c r="E331" s="8" t="s">
        <v>15</v>
      </c>
      <c r="F331" s="9" t="s">
        <v>224</v>
      </c>
      <c r="G331" s="33">
        <v>18350.842000000001</v>
      </c>
      <c r="H331" s="33">
        <v>22306.43</v>
      </c>
      <c r="I331" s="33">
        <v>17994.5</v>
      </c>
      <c r="J331" s="33">
        <v>16627.8</v>
      </c>
      <c r="K331" s="33">
        <v>15325.7</v>
      </c>
    </row>
    <row r="332" spans="1:12" ht="110.25" customHeight="1" x14ac:dyDescent="0.25">
      <c r="A332" s="55" t="s">
        <v>894</v>
      </c>
      <c r="B332" s="73"/>
      <c r="C332" s="55" t="s">
        <v>227</v>
      </c>
      <c r="D332" s="8" t="s">
        <v>232</v>
      </c>
      <c r="E332" s="64" t="s">
        <v>235</v>
      </c>
      <c r="F332" s="9" t="s">
        <v>109</v>
      </c>
      <c r="G332" s="33">
        <v>1183.21</v>
      </c>
      <c r="H332" s="33" t="s">
        <v>165</v>
      </c>
      <c r="I332" s="33" t="s">
        <v>165</v>
      </c>
      <c r="J332" s="33" t="s">
        <v>165</v>
      </c>
      <c r="K332" s="33" t="s">
        <v>165</v>
      </c>
    </row>
    <row r="333" spans="1:12" ht="31.5" x14ac:dyDescent="0.25">
      <c r="A333" s="56"/>
      <c r="B333" s="73"/>
      <c r="C333" s="56"/>
      <c r="D333" s="8" t="s">
        <v>1211</v>
      </c>
      <c r="E333" s="65"/>
      <c r="F333" s="9" t="s">
        <v>109</v>
      </c>
      <c r="G333" s="33" t="s">
        <v>165</v>
      </c>
      <c r="H333" s="33" t="s">
        <v>165</v>
      </c>
      <c r="I333" s="33" t="s">
        <v>165</v>
      </c>
      <c r="J333" s="33" t="s">
        <v>165</v>
      </c>
      <c r="K333" s="33" t="s">
        <v>165</v>
      </c>
    </row>
    <row r="334" spans="1:12" ht="63" x14ac:dyDescent="0.25">
      <c r="A334" s="57"/>
      <c r="B334" s="73"/>
      <c r="C334" s="57"/>
      <c r="D334" s="8" t="s">
        <v>488</v>
      </c>
      <c r="E334" s="8" t="s">
        <v>15</v>
      </c>
      <c r="F334" s="9" t="s">
        <v>224</v>
      </c>
      <c r="G334" s="33">
        <v>1183.2049999999999</v>
      </c>
      <c r="H334" s="33">
        <v>0</v>
      </c>
      <c r="I334" s="33">
        <v>0</v>
      </c>
      <c r="J334" s="33">
        <v>0</v>
      </c>
      <c r="K334" s="33">
        <v>0</v>
      </c>
    </row>
    <row r="335" spans="1:12" ht="33" customHeight="1" x14ac:dyDescent="0.25">
      <c r="A335" s="55" t="s">
        <v>895</v>
      </c>
      <c r="B335" s="73"/>
      <c r="C335" s="55" t="s">
        <v>1221</v>
      </c>
      <c r="D335" s="8" t="s">
        <v>233</v>
      </c>
      <c r="E335" s="8" t="s">
        <v>228</v>
      </c>
      <c r="F335" s="9" t="s">
        <v>61</v>
      </c>
      <c r="G335" s="10">
        <v>1965</v>
      </c>
      <c r="H335" s="10" t="s">
        <v>165</v>
      </c>
      <c r="I335" s="10" t="s">
        <v>165</v>
      </c>
      <c r="J335" s="10" t="s">
        <v>165</v>
      </c>
      <c r="K335" s="10" t="s">
        <v>165</v>
      </c>
    </row>
    <row r="336" spans="1:12" ht="37.5" customHeight="1" x14ac:dyDescent="0.25">
      <c r="A336" s="56"/>
      <c r="B336" s="73"/>
      <c r="C336" s="56"/>
      <c r="D336" s="8" t="s">
        <v>1212</v>
      </c>
      <c r="E336" s="8" t="s">
        <v>1224</v>
      </c>
      <c r="F336" s="9" t="s">
        <v>22</v>
      </c>
      <c r="G336" s="35" t="s">
        <v>165</v>
      </c>
      <c r="H336" s="35">
        <v>1956</v>
      </c>
      <c r="I336" s="35">
        <v>1716</v>
      </c>
      <c r="J336" s="35">
        <v>1626</v>
      </c>
      <c r="K336" s="10">
        <v>1790</v>
      </c>
      <c r="L336" s="39"/>
    </row>
    <row r="337" spans="1:11" ht="63" x14ac:dyDescent="0.25">
      <c r="A337" s="57"/>
      <c r="B337" s="73"/>
      <c r="C337" s="57"/>
      <c r="D337" s="8" t="s">
        <v>489</v>
      </c>
      <c r="E337" s="8" t="s">
        <v>15</v>
      </c>
      <c r="F337" s="9" t="s">
        <v>224</v>
      </c>
      <c r="G337" s="33">
        <v>29842.891</v>
      </c>
      <c r="H337" s="33">
        <v>30500.03</v>
      </c>
      <c r="I337" s="33">
        <v>25770.2</v>
      </c>
      <c r="J337" s="33">
        <v>24588.5</v>
      </c>
      <c r="K337" s="33">
        <v>23286.5</v>
      </c>
    </row>
    <row r="338" spans="1:11" ht="21" customHeight="1" x14ac:dyDescent="0.25">
      <c r="A338" s="55" t="s">
        <v>896</v>
      </c>
      <c r="B338" s="73"/>
      <c r="C338" s="55" t="s">
        <v>229</v>
      </c>
      <c r="D338" s="8" t="s">
        <v>234</v>
      </c>
      <c r="E338" s="8" t="s">
        <v>1223</v>
      </c>
      <c r="F338" s="9" t="s">
        <v>22</v>
      </c>
      <c r="G338" s="10">
        <v>4646</v>
      </c>
      <c r="H338" s="35" t="s">
        <v>165</v>
      </c>
      <c r="I338" s="35" t="s">
        <v>165</v>
      </c>
      <c r="J338" s="35" t="s">
        <v>165</v>
      </c>
      <c r="K338" s="35" t="s">
        <v>165</v>
      </c>
    </row>
    <row r="339" spans="1:11" ht="57" customHeight="1" x14ac:dyDescent="0.25">
      <c r="A339" s="56"/>
      <c r="B339" s="73"/>
      <c r="C339" s="56"/>
      <c r="D339" s="8" t="s">
        <v>1213</v>
      </c>
      <c r="E339" s="8" t="s">
        <v>1223</v>
      </c>
      <c r="F339" s="9" t="s">
        <v>22</v>
      </c>
      <c r="G339" s="35" t="s">
        <v>165</v>
      </c>
      <c r="H339" s="35">
        <v>4561</v>
      </c>
      <c r="I339" s="35">
        <v>4036</v>
      </c>
      <c r="J339" s="35">
        <v>3822</v>
      </c>
      <c r="K339" s="35">
        <v>4413</v>
      </c>
    </row>
    <row r="340" spans="1:11" ht="63" x14ac:dyDescent="0.25">
      <c r="A340" s="57"/>
      <c r="B340" s="73"/>
      <c r="C340" s="57"/>
      <c r="D340" s="8" t="s">
        <v>490</v>
      </c>
      <c r="E340" s="8" t="s">
        <v>15</v>
      </c>
      <c r="F340" s="9" t="s">
        <v>224</v>
      </c>
      <c r="G340" s="33">
        <v>547812.44299999997</v>
      </c>
      <c r="H340" s="33">
        <v>613853.67000000004</v>
      </c>
      <c r="I340" s="33">
        <v>505989.9</v>
      </c>
      <c r="J340" s="33">
        <v>494671.7</v>
      </c>
      <c r="K340" s="33">
        <v>490040.8</v>
      </c>
    </row>
    <row r="341" spans="1:11" ht="47.25" x14ac:dyDescent="0.25">
      <c r="A341" s="69" t="s">
        <v>1216</v>
      </c>
      <c r="B341" s="73"/>
      <c r="C341" s="55" t="s">
        <v>543</v>
      </c>
      <c r="D341" s="8" t="s">
        <v>1208</v>
      </c>
      <c r="E341" s="8" t="s">
        <v>1219</v>
      </c>
      <c r="F341" s="9" t="s">
        <v>61</v>
      </c>
      <c r="G341" s="1" t="s">
        <v>165</v>
      </c>
      <c r="H341" s="35">
        <v>17</v>
      </c>
      <c r="I341" s="35">
        <v>17</v>
      </c>
      <c r="J341" s="35">
        <v>17</v>
      </c>
      <c r="K341" s="35">
        <v>17</v>
      </c>
    </row>
    <row r="342" spans="1:11" ht="68.25" customHeight="1" x14ac:dyDescent="0.25">
      <c r="A342" s="69"/>
      <c r="B342" s="74"/>
      <c r="C342" s="57"/>
      <c r="D342" s="8" t="s">
        <v>1218</v>
      </c>
      <c r="E342" s="8" t="s">
        <v>15</v>
      </c>
      <c r="F342" s="9" t="s">
        <v>224</v>
      </c>
      <c r="G342" s="1">
        <v>0</v>
      </c>
      <c r="H342" s="1">
        <v>23123.599999999999</v>
      </c>
      <c r="I342" s="1">
        <v>25091.1</v>
      </c>
      <c r="J342" s="1">
        <v>24378.1</v>
      </c>
      <c r="K342" s="1">
        <v>24056.3</v>
      </c>
    </row>
    <row r="343" spans="1:11" ht="63" customHeight="1" x14ac:dyDescent="0.25">
      <c r="A343" s="61" t="s">
        <v>1215</v>
      </c>
      <c r="B343" s="62"/>
      <c r="C343" s="62"/>
      <c r="D343" s="63"/>
      <c r="E343" s="13" t="s">
        <v>16</v>
      </c>
      <c r="F343" s="14" t="s">
        <v>7</v>
      </c>
      <c r="G343" s="15">
        <f>G340+G337+G334+G331+G328+G325+G342</f>
        <v>617085.05799999984</v>
      </c>
      <c r="H343" s="15">
        <f>H340+H337+H334+H331+H328+H325+H342</f>
        <v>710794.93</v>
      </c>
      <c r="I343" s="15">
        <f>I340+I337+I334+I331+I328+I325+I342</f>
        <v>590470.99999999988</v>
      </c>
      <c r="J343" s="15">
        <f>J340+J337+J334+J331+J328+J325+J342</f>
        <v>575490</v>
      </c>
      <c r="K343" s="15">
        <f>K340+K337+K334+K331+K328+K325+K342</f>
        <v>567720.6</v>
      </c>
    </row>
    <row r="344" spans="1:11" ht="63" customHeight="1" x14ac:dyDescent="0.25">
      <c r="A344" s="58" t="s">
        <v>236</v>
      </c>
      <c r="B344" s="59"/>
      <c r="C344" s="59"/>
      <c r="D344" s="60"/>
      <c r="E344" s="16" t="s">
        <v>16</v>
      </c>
      <c r="F344" s="17" t="s">
        <v>7</v>
      </c>
      <c r="G344" s="18">
        <f>G343</f>
        <v>617085.05799999984</v>
      </c>
      <c r="H344" s="18">
        <f t="shared" ref="H344:K344" si="11">H343</f>
        <v>710794.93</v>
      </c>
      <c r="I344" s="18">
        <f t="shared" si="11"/>
        <v>590470.99999999988</v>
      </c>
      <c r="J344" s="18">
        <f t="shared" si="11"/>
        <v>575490</v>
      </c>
      <c r="K344" s="18">
        <f t="shared" si="11"/>
        <v>567720.6</v>
      </c>
    </row>
    <row r="345" spans="1:11" ht="15.75" customHeight="1" x14ac:dyDescent="0.25">
      <c r="A345" s="29" t="s">
        <v>897</v>
      </c>
      <c r="B345" s="66" t="s">
        <v>56</v>
      </c>
      <c r="C345" s="67"/>
      <c r="D345" s="67"/>
      <c r="E345" s="67"/>
      <c r="F345" s="67"/>
      <c r="G345" s="67"/>
      <c r="H345" s="67"/>
      <c r="I345" s="67"/>
      <c r="J345" s="67"/>
      <c r="K345" s="68"/>
    </row>
    <row r="346" spans="1:11" ht="16.5" customHeight="1" x14ac:dyDescent="0.25">
      <c r="A346" s="55" t="s">
        <v>898</v>
      </c>
      <c r="B346" s="55" t="s">
        <v>57</v>
      </c>
      <c r="C346" s="55" t="s">
        <v>58</v>
      </c>
      <c r="D346" s="55" t="s">
        <v>59</v>
      </c>
      <c r="E346" s="8" t="s">
        <v>60</v>
      </c>
      <c r="F346" s="9" t="s">
        <v>61</v>
      </c>
      <c r="G346" s="11">
        <v>244</v>
      </c>
      <c r="H346" s="11">
        <v>244</v>
      </c>
      <c r="I346" s="11">
        <v>244</v>
      </c>
      <c r="J346" s="11">
        <v>244</v>
      </c>
      <c r="K346" s="11">
        <v>244</v>
      </c>
    </row>
    <row r="347" spans="1:11" ht="15.75" x14ac:dyDescent="0.25">
      <c r="A347" s="56"/>
      <c r="B347" s="56"/>
      <c r="C347" s="56"/>
      <c r="D347" s="56"/>
      <c r="E347" s="8" t="s">
        <v>1181</v>
      </c>
      <c r="F347" s="9" t="s">
        <v>1180</v>
      </c>
      <c r="G347" s="10">
        <v>3513600</v>
      </c>
      <c r="H347" s="10">
        <v>3513600</v>
      </c>
      <c r="I347" s="10">
        <v>3513600</v>
      </c>
      <c r="J347" s="10">
        <v>3513600</v>
      </c>
      <c r="K347" s="10">
        <v>3513600</v>
      </c>
    </row>
    <row r="348" spans="1:11" ht="15.75" x14ac:dyDescent="0.25">
      <c r="A348" s="56"/>
      <c r="B348" s="56"/>
      <c r="C348" s="56"/>
      <c r="D348" s="56"/>
      <c r="E348" s="8" t="s">
        <v>63</v>
      </c>
      <c r="F348" s="9" t="s">
        <v>61</v>
      </c>
      <c r="G348" s="10">
        <v>878400</v>
      </c>
      <c r="H348" s="10">
        <v>878400</v>
      </c>
      <c r="I348" s="10">
        <v>878400</v>
      </c>
      <c r="J348" s="10">
        <v>878400</v>
      </c>
      <c r="K348" s="10">
        <v>878400</v>
      </c>
    </row>
    <row r="349" spans="1:11" ht="31.5" x14ac:dyDescent="0.25">
      <c r="A349" s="56"/>
      <c r="B349" s="56"/>
      <c r="C349" s="56"/>
      <c r="D349" s="57"/>
      <c r="E349" s="8" t="s">
        <v>1118</v>
      </c>
      <c r="F349" s="9" t="s">
        <v>61</v>
      </c>
      <c r="G349" s="10">
        <v>3600</v>
      </c>
      <c r="H349" s="10">
        <v>3600</v>
      </c>
      <c r="I349" s="10">
        <v>3600</v>
      </c>
      <c r="J349" s="10">
        <v>3600</v>
      </c>
      <c r="K349" s="10">
        <v>3600</v>
      </c>
    </row>
    <row r="350" spans="1:11" ht="63" customHeight="1" x14ac:dyDescent="0.25">
      <c r="A350" s="57"/>
      <c r="B350" s="57"/>
      <c r="C350" s="57"/>
      <c r="D350" s="8" t="s">
        <v>62</v>
      </c>
      <c r="E350" s="8" t="s">
        <v>15</v>
      </c>
      <c r="F350" s="9" t="s">
        <v>6</v>
      </c>
      <c r="G350" s="1">
        <v>9737.2000000000007</v>
      </c>
      <c r="H350" s="1">
        <v>8985.2999999999993</v>
      </c>
      <c r="I350" s="1">
        <v>7689.9</v>
      </c>
      <c r="J350" s="1">
        <v>6152.1</v>
      </c>
      <c r="K350" s="1">
        <v>6028.8</v>
      </c>
    </row>
    <row r="351" spans="1:11" ht="63" customHeight="1" x14ac:dyDescent="0.25">
      <c r="A351" s="61" t="s">
        <v>64</v>
      </c>
      <c r="B351" s="62"/>
      <c r="C351" s="62"/>
      <c r="D351" s="63"/>
      <c r="E351" s="13" t="s">
        <v>16</v>
      </c>
      <c r="F351" s="14" t="s">
        <v>7</v>
      </c>
      <c r="G351" s="15">
        <f>G350</f>
        <v>9737.2000000000007</v>
      </c>
      <c r="H351" s="15">
        <f t="shared" ref="H351:K351" si="12">H350</f>
        <v>8985.2999999999993</v>
      </c>
      <c r="I351" s="15">
        <f t="shared" si="12"/>
        <v>7689.9</v>
      </c>
      <c r="J351" s="15">
        <f t="shared" si="12"/>
        <v>6152.1</v>
      </c>
      <c r="K351" s="15">
        <f t="shared" si="12"/>
        <v>6028.8</v>
      </c>
    </row>
    <row r="352" spans="1:11" ht="31.5" customHeight="1" x14ac:dyDescent="0.25">
      <c r="A352" s="55" t="s">
        <v>899</v>
      </c>
      <c r="B352" s="55" t="s">
        <v>1116</v>
      </c>
      <c r="C352" s="55" t="s">
        <v>65</v>
      </c>
      <c r="D352" s="64" t="s">
        <v>66</v>
      </c>
      <c r="E352" s="8" t="s">
        <v>72</v>
      </c>
      <c r="F352" s="9" t="s">
        <v>68</v>
      </c>
      <c r="G352" s="10">
        <v>3504</v>
      </c>
      <c r="H352" s="10">
        <v>2400</v>
      </c>
      <c r="I352" s="10">
        <v>2400</v>
      </c>
      <c r="J352" s="10">
        <v>2400</v>
      </c>
      <c r="K352" s="10">
        <v>2400</v>
      </c>
    </row>
    <row r="353" spans="1:11" ht="31.5" x14ac:dyDescent="0.25">
      <c r="A353" s="56"/>
      <c r="B353" s="56"/>
      <c r="C353" s="56"/>
      <c r="D353" s="65"/>
      <c r="E353" s="8" t="s">
        <v>67</v>
      </c>
      <c r="F353" s="9" t="s">
        <v>61</v>
      </c>
      <c r="G353" s="11">
        <v>24</v>
      </c>
      <c r="H353" s="11">
        <v>15</v>
      </c>
      <c r="I353" s="11">
        <v>15</v>
      </c>
      <c r="J353" s="11">
        <v>15</v>
      </c>
      <c r="K353" s="11">
        <v>15</v>
      </c>
    </row>
    <row r="354" spans="1:11" ht="63" x14ac:dyDescent="0.25">
      <c r="A354" s="57"/>
      <c r="B354" s="56"/>
      <c r="C354" s="57"/>
      <c r="D354" s="8" t="s">
        <v>69</v>
      </c>
      <c r="E354" s="8" t="s">
        <v>15</v>
      </c>
      <c r="F354" s="9" t="s">
        <v>7</v>
      </c>
      <c r="G354" s="1">
        <v>875.5</v>
      </c>
      <c r="H354" s="1">
        <v>1958.4</v>
      </c>
      <c r="I354" s="1">
        <v>1627.58</v>
      </c>
      <c r="J354" s="1">
        <v>1287.3900000000001</v>
      </c>
      <c r="K354" s="1">
        <v>1269.98</v>
      </c>
    </row>
    <row r="355" spans="1:11" ht="31.5" x14ac:dyDescent="0.25">
      <c r="A355" s="55" t="s">
        <v>900</v>
      </c>
      <c r="B355" s="56"/>
      <c r="C355" s="55" t="s">
        <v>70</v>
      </c>
      <c r="D355" s="64" t="s">
        <v>71</v>
      </c>
      <c r="E355" s="8" t="s">
        <v>72</v>
      </c>
      <c r="F355" s="9" t="s">
        <v>68</v>
      </c>
      <c r="G355" s="10">
        <v>15303</v>
      </c>
      <c r="H355" s="10">
        <v>12350</v>
      </c>
      <c r="I355" s="10">
        <v>12350</v>
      </c>
      <c r="J355" s="10">
        <v>12350</v>
      </c>
      <c r="K355" s="10">
        <v>12350</v>
      </c>
    </row>
    <row r="356" spans="1:11" ht="31.5" x14ac:dyDescent="0.25">
      <c r="A356" s="56"/>
      <c r="B356" s="56"/>
      <c r="C356" s="56"/>
      <c r="D356" s="65"/>
      <c r="E356" s="8" t="s">
        <v>67</v>
      </c>
      <c r="F356" s="9" t="s">
        <v>61</v>
      </c>
      <c r="G356" s="11">
        <v>110</v>
      </c>
      <c r="H356" s="10">
        <v>50</v>
      </c>
      <c r="I356" s="10">
        <v>50</v>
      </c>
      <c r="J356" s="10">
        <v>50</v>
      </c>
      <c r="K356" s="10">
        <v>50</v>
      </c>
    </row>
    <row r="357" spans="1:11" ht="63" x14ac:dyDescent="0.25">
      <c r="A357" s="57"/>
      <c r="B357" s="56"/>
      <c r="C357" s="57"/>
      <c r="D357" s="8" t="s">
        <v>69</v>
      </c>
      <c r="E357" s="8" t="s">
        <v>15</v>
      </c>
      <c r="F357" s="9" t="s">
        <v>7</v>
      </c>
      <c r="G357" s="1">
        <v>4777.3999999999996</v>
      </c>
      <c r="H357" s="1">
        <v>10077.6</v>
      </c>
      <c r="I357" s="1">
        <v>8375.26</v>
      </c>
      <c r="J357" s="1">
        <v>6624.69</v>
      </c>
      <c r="K357" s="1">
        <v>6535.11</v>
      </c>
    </row>
    <row r="358" spans="1:11" ht="33.75" customHeight="1" x14ac:dyDescent="0.25">
      <c r="A358" s="55" t="s">
        <v>901</v>
      </c>
      <c r="B358" s="56"/>
      <c r="C358" s="55" t="s">
        <v>73</v>
      </c>
      <c r="D358" s="64" t="s">
        <v>74</v>
      </c>
      <c r="E358" s="8" t="s">
        <v>72</v>
      </c>
      <c r="F358" s="9" t="s">
        <v>68</v>
      </c>
      <c r="G358" s="10">
        <v>33174</v>
      </c>
      <c r="H358" s="10">
        <v>29250</v>
      </c>
      <c r="I358" s="10">
        <v>29250</v>
      </c>
      <c r="J358" s="10">
        <v>29250</v>
      </c>
      <c r="K358" s="10">
        <v>29250</v>
      </c>
    </row>
    <row r="359" spans="1:11" ht="31.5" x14ac:dyDescent="0.25">
      <c r="A359" s="56"/>
      <c r="B359" s="56"/>
      <c r="C359" s="56"/>
      <c r="D359" s="65"/>
      <c r="E359" s="8" t="s">
        <v>67</v>
      </c>
      <c r="F359" s="9" t="s">
        <v>61</v>
      </c>
      <c r="G359" s="11">
        <v>104</v>
      </c>
      <c r="H359" s="10">
        <v>85</v>
      </c>
      <c r="I359" s="10">
        <v>85</v>
      </c>
      <c r="J359" s="10">
        <v>85</v>
      </c>
      <c r="K359" s="10">
        <v>85</v>
      </c>
    </row>
    <row r="360" spans="1:11" ht="63" x14ac:dyDescent="0.25">
      <c r="A360" s="57"/>
      <c r="B360" s="56"/>
      <c r="C360" s="57"/>
      <c r="D360" s="8" t="s">
        <v>69</v>
      </c>
      <c r="E360" s="8" t="s">
        <v>15</v>
      </c>
      <c r="F360" s="9" t="s">
        <v>7</v>
      </c>
      <c r="G360" s="1">
        <v>10356.4</v>
      </c>
      <c r="H360" s="1">
        <v>23868</v>
      </c>
      <c r="I360" s="1">
        <v>19836.14</v>
      </c>
      <c r="J360" s="1">
        <v>15690.06</v>
      </c>
      <c r="K360" s="1">
        <v>15477.89</v>
      </c>
    </row>
    <row r="361" spans="1:11" ht="36" customHeight="1" x14ac:dyDescent="0.25">
      <c r="A361" s="55" t="s">
        <v>902</v>
      </c>
      <c r="B361" s="56"/>
      <c r="C361" s="55" t="s">
        <v>75</v>
      </c>
      <c r="D361" s="64" t="s">
        <v>76</v>
      </c>
      <c r="E361" s="8" t="s">
        <v>72</v>
      </c>
      <c r="F361" s="9" t="s">
        <v>68</v>
      </c>
      <c r="G361" s="10">
        <v>4613</v>
      </c>
      <c r="H361" s="10">
        <v>4500</v>
      </c>
      <c r="I361" s="10">
        <v>4500</v>
      </c>
      <c r="J361" s="10">
        <v>4500</v>
      </c>
      <c r="K361" s="10">
        <v>4500</v>
      </c>
    </row>
    <row r="362" spans="1:11" ht="31.5" x14ac:dyDescent="0.25">
      <c r="A362" s="56"/>
      <c r="B362" s="56"/>
      <c r="C362" s="56"/>
      <c r="D362" s="65"/>
      <c r="E362" s="8" t="s">
        <v>67</v>
      </c>
      <c r="F362" s="9" t="s">
        <v>61</v>
      </c>
      <c r="G362" s="10">
        <v>29</v>
      </c>
      <c r="H362" s="10">
        <v>20</v>
      </c>
      <c r="I362" s="10">
        <v>20</v>
      </c>
      <c r="J362" s="10">
        <v>20</v>
      </c>
      <c r="K362" s="10">
        <v>20</v>
      </c>
    </row>
    <row r="363" spans="1:11" ht="63" x14ac:dyDescent="0.25">
      <c r="A363" s="57"/>
      <c r="B363" s="57"/>
      <c r="C363" s="57"/>
      <c r="D363" s="8" t="s">
        <v>69</v>
      </c>
      <c r="E363" s="8" t="s">
        <v>15</v>
      </c>
      <c r="F363" s="9" t="s">
        <v>7</v>
      </c>
      <c r="G363" s="1">
        <v>1658.5</v>
      </c>
      <c r="H363" s="1">
        <v>3672</v>
      </c>
      <c r="I363" s="1">
        <v>3051.72</v>
      </c>
      <c r="J363" s="1">
        <v>2413.86</v>
      </c>
      <c r="K363" s="1">
        <v>2381.2199999999998</v>
      </c>
    </row>
    <row r="364" spans="1:11" ht="63" customHeight="1" x14ac:dyDescent="0.25">
      <c r="A364" s="61" t="s">
        <v>1117</v>
      </c>
      <c r="B364" s="62"/>
      <c r="C364" s="62"/>
      <c r="D364" s="63"/>
      <c r="E364" s="13" t="s">
        <v>16</v>
      </c>
      <c r="F364" s="14" t="s">
        <v>7</v>
      </c>
      <c r="G364" s="15">
        <f>G354+G357+G360+G363</f>
        <v>17667.8</v>
      </c>
      <c r="H364" s="15">
        <f t="shared" ref="H364:J364" si="13">H354+H357+H360+H363</f>
        <v>39576</v>
      </c>
      <c r="I364" s="15">
        <f t="shared" si="13"/>
        <v>32890.699999999997</v>
      </c>
      <c r="J364" s="15">
        <f t="shared" si="13"/>
        <v>26016</v>
      </c>
      <c r="K364" s="15">
        <f>K354+K357+K360+K363</f>
        <v>25664.2</v>
      </c>
    </row>
    <row r="365" spans="1:11" ht="63" customHeight="1" x14ac:dyDescent="0.25">
      <c r="A365" s="58" t="s">
        <v>77</v>
      </c>
      <c r="B365" s="59"/>
      <c r="C365" s="59"/>
      <c r="D365" s="60"/>
      <c r="E365" s="16" t="s">
        <v>16</v>
      </c>
      <c r="F365" s="17" t="s">
        <v>7</v>
      </c>
      <c r="G365" s="18">
        <f>G364+G351</f>
        <v>27405</v>
      </c>
      <c r="H365" s="18">
        <f>H364+H351</f>
        <v>48561.3</v>
      </c>
      <c r="I365" s="18">
        <f t="shared" ref="I365" si="14">I364+I351</f>
        <v>40580.6</v>
      </c>
      <c r="J365" s="18">
        <f>J364+J351</f>
        <v>32168.1</v>
      </c>
      <c r="K365" s="18">
        <f>K364+K351</f>
        <v>31693</v>
      </c>
    </row>
    <row r="366" spans="1:11" ht="15.75" customHeight="1" x14ac:dyDescent="0.25">
      <c r="A366" s="29" t="s">
        <v>903</v>
      </c>
      <c r="B366" s="66" t="s">
        <v>86</v>
      </c>
      <c r="C366" s="67"/>
      <c r="D366" s="67"/>
      <c r="E366" s="67"/>
      <c r="F366" s="67"/>
      <c r="G366" s="67"/>
      <c r="H366" s="67"/>
      <c r="I366" s="67"/>
      <c r="J366" s="67"/>
      <c r="K366" s="68"/>
    </row>
    <row r="367" spans="1:11" ht="36.75" customHeight="1" x14ac:dyDescent="0.25">
      <c r="A367" s="78" t="s">
        <v>1146</v>
      </c>
      <c r="B367" s="69" t="s">
        <v>57</v>
      </c>
      <c r="C367" s="75" t="s">
        <v>87</v>
      </c>
      <c r="D367" s="64" t="s">
        <v>1085</v>
      </c>
      <c r="E367" s="8" t="s">
        <v>89</v>
      </c>
      <c r="F367" s="9" t="s">
        <v>90</v>
      </c>
      <c r="G367" s="11">
        <v>241</v>
      </c>
      <c r="H367" s="11" t="s">
        <v>165</v>
      </c>
      <c r="I367" s="11" t="s">
        <v>165</v>
      </c>
      <c r="J367" s="11" t="s">
        <v>165</v>
      </c>
      <c r="K367" s="11" t="s">
        <v>165</v>
      </c>
    </row>
    <row r="368" spans="1:11" ht="31.5" x14ac:dyDescent="0.25">
      <c r="A368" s="79"/>
      <c r="B368" s="69"/>
      <c r="C368" s="76"/>
      <c r="D368" s="65"/>
      <c r="E368" s="8" t="s">
        <v>91</v>
      </c>
      <c r="F368" s="9" t="s">
        <v>68</v>
      </c>
      <c r="G368" s="10">
        <v>12348</v>
      </c>
      <c r="H368" s="11" t="s">
        <v>165</v>
      </c>
      <c r="I368" s="11" t="s">
        <v>165</v>
      </c>
      <c r="J368" s="11" t="s">
        <v>165</v>
      </c>
      <c r="K368" s="11" t="s">
        <v>165</v>
      </c>
    </row>
    <row r="369" spans="1:11" ht="63" x14ac:dyDescent="0.25">
      <c r="A369" s="79"/>
      <c r="B369" s="69"/>
      <c r="C369" s="76"/>
      <c r="D369" s="8" t="s">
        <v>92</v>
      </c>
      <c r="E369" s="8" t="s">
        <v>15</v>
      </c>
      <c r="F369" s="9" t="s">
        <v>7</v>
      </c>
      <c r="G369" s="40">
        <v>3694.2611000000002</v>
      </c>
      <c r="H369" s="40">
        <v>0</v>
      </c>
      <c r="I369" s="40">
        <v>0</v>
      </c>
      <c r="J369" s="40">
        <v>0</v>
      </c>
      <c r="K369" s="40">
        <v>0</v>
      </c>
    </row>
    <row r="370" spans="1:11" ht="47.25" x14ac:dyDescent="0.25">
      <c r="A370" s="79"/>
      <c r="B370" s="69"/>
      <c r="C370" s="76"/>
      <c r="D370" s="64" t="s">
        <v>1086</v>
      </c>
      <c r="E370" s="8" t="s">
        <v>1087</v>
      </c>
      <c r="F370" s="24" t="s">
        <v>22</v>
      </c>
      <c r="G370" s="30" t="s">
        <v>165</v>
      </c>
      <c r="H370" s="25">
        <v>40</v>
      </c>
      <c r="I370" s="25" t="s">
        <v>165</v>
      </c>
      <c r="J370" s="25" t="s">
        <v>165</v>
      </c>
      <c r="K370" s="25" t="s">
        <v>165</v>
      </c>
    </row>
    <row r="371" spans="1:11" ht="47.25" x14ac:dyDescent="0.25">
      <c r="A371" s="79"/>
      <c r="B371" s="69"/>
      <c r="C371" s="76"/>
      <c r="D371" s="65"/>
      <c r="E371" s="8" t="s">
        <v>1088</v>
      </c>
      <c r="F371" s="24" t="s">
        <v>22</v>
      </c>
      <c r="G371" s="30" t="s">
        <v>165</v>
      </c>
      <c r="H371" s="25">
        <v>40</v>
      </c>
      <c r="I371" s="25" t="s">
        <v>165</v>
      </c>
      <c r="J371" s="25" t="s">
        <v>165</v>
      </c>
      <c r="K371" s="25" t="s">
        <v>165</v>
      </c>
    </row>
    <row r="372" spans="1:11" ht="65.25" customHeight="1" x14ac:dyDescent="0.25">
      <c r="A372" s="79"/>
      <c r="B372" s="69"/>
      <c r="C372" s="76"/>
      <c r="D372" s="41" t="s">
        <v>92</v>
      </c>
      <c r="E372" s="23" t="s">
        <v>15</v>
      </c>
      <c r="F372" s="24" t="s">
        <v>109</v>
      </c>
      <c r="G372" s="40">
        <v>0</v>
      </c>
      <c r="H372" s="40">
        <f>1173.53*2</f>
        <v>2347.06</v>
      </c>
      <c r="I372" s="40">
        <v>0</v>
      </c>
      <c r="J372" s="40">
        <v>0</v>
      </c>
      <c r="K372" s="40">
        <v>0</v>
      </c>
    </row>
    <row r="373" spans="1:11" ht="22.5" customHeight="1" x14ac:dyDescent="0.25">
      <c r="A373" s="78" t="s">
        <v>1147</v>
      </c>
      <c r="B373" s="69"/>
      <c r="C373" s="75" t="s">
        <v>93</v>
      </c>
      <c r="D373" s="8" t="s">
        <v>95</v>
      </c>
      <c r="E373" s="8" t="s">
        <v>94</v>
      </c>
      <c r="F373" s="9" t="s">
        <v>22</v>
      </c>
      <c r="G373" s="10">
        <v>4376</v>
      </c>
      <c r="H373" s="11" t="s">
        <v>165</v>
      </c>
      <c r="I373" s="11" t="s">
        <v>165</v>
      </c>
      <c r="J373" s="11" t="s">
        <v>165</v>
      </c>
      <c r="K373" s="11" t="s">
        <v>165</v>
      </c>
    </row>
    <row r="374" spans="1:11" ht="63" x14ac:dyDescent="0.25">
      <c r="A374" s="79"/>
      <c r="B374" s="69"/>
      <c r="C374" s="76"/>
      <c r="D374" s="8" t="s">
        <v>92</v>
      </c>
      <c r="E374" s="8" t="s">
        <v>15</v>
      </c>
      <c r="F374" s="9" t="s">
        <v>7</v>
      </c>
      <c r="G374" s="40">
        <v>1292.5464099999999</v>
      </c>
      <c r="H374" s="40">
        <v>0</v>
      </c>
      <c r="I374" s="40">
        <v>0</v>
      </c>
      <c r="J374" s="40">
        <v>0</v>
      </c>
      <c r="K374" s="40">
        <v>0</v>
      </c>
    </row>
    <row r="375" spans="1:11" ht="15.75" x14ac:dyDescent="0.25">
      <c r="A375" s="79"/>
      <c r="B375" s="69"/>
      <c r="C375" s="76"/>
      <c r="D375" s="8" t="s">
        <v>1089</v>
      </c>
      <c r="E375" s="8" t="s">
        <v>94</v>
      </c>
      <c r="F375" s="9" t="s">
        <v>22</v>
      </c>
      <c r="G375" s="11" t="s">
        <v>165</v>
      </c>
      <c r="H375" s="10">
        <v>3162</v>
      </c>
      <c r="I375" s="25" t="s">
        <v>165</v>
      </c>
      <c r="J375" s="25" t="s">
        <v>165</v>
      </c>
      <c r="K375" s="25" t="s">
        <v>165</v>
      </c>
    </row>
    <row r="376" spans="1:11" ht="62.25" customHeight="1" x14ac:dyDescent="0.25">
      <c r="A376" s="79"/>
      <c r="B376" s="69"/>
      <c r="C376" s="76"/>
      <c r="D376" s="8" t="s">
        <v>1090</v>
      </c>
      <c r="E376" s="23" t="s">
        <v>15</v>
      </c>
      <c r="F376" s="24" t="s">
        <v>109</v>
      </c>
      <c r="G376" s="40">
        <v>0</v>
      </c>
      <c r="H376" s="1">
        <v>1444.9</v>
      </c>
      <c r="I376" s="30">
        <v>0</v>
      </c>
      <c r="J376" s="42">
        <v>0</v>
      </c>
      <c r="K376" s="42">
        <v>0</v>
      </c>
    </row>
    <row r="377" spans="1:11" ht="48" customHeight="1" x14ac:dyDescent="0.25">
      <c r="A377" s="78" t="s">
        <v>1148</v>
      </c>
      <c r="B377" s="69"/>
      <c r="C377" s="75" t="s">
        <v>96</v>
      </c>
      <c r="D377" s="8" t="s">
        <v>97</v>
      </c>
      <c r="E377" s="8" t="s">
        <v>98</v>
      </c>
      <c r="F377" s="9" t="s">
        <v>22</v>
      </c>
      <c r="G377" s="11">
        <v>6</v>
      </c>
      <c r="H377" s="11">
        <v>4</v>
      </c>
      <c r="I377" s="25" t="s">
        <v>165</v>
      </c>
      <c r="J377" s="25" t="s">
        <v>165</v>
      </c>
      <c r="K377" s="25" t="s">
        <v>165</v>
      </c>
    </row>
    <row r="378" spans="1:11" ht="66.75" customHeight="1" x14ac:dyDescent="0.25">
      <c r="A378" s="79"/>
      <c r="B378" s="69"/>
      <c r="C378" s="76"/>
      <c r="D378" s="8" t="s">
        <v>92</v>
      </c>
      <c r="E378" s="23" t="s">
        <v>15</v>
      </c>
      <c r="F378" s="24" t="s">
        <v>7</v>
      </c>
      <c r="G378" s="40">
        <v>15463.10555</v>
      </c>
      <c r="H378" s="40">
        <v>11158.54</v>
      </c>
      <c r="I378" s="40">
        <v>0</v>
      </c>
      <c r="J378" s="40">
        <v>0</v>
      </c>
      <c r="K378" s="40">
        <v>0</v>
      </c>
    </row>
    <row r="379" spans="1:11" ht="33.75" customHeight="1" x14ac:dyDescent="0.25">
      <c r="A379" s="78" t="s">
        <v>1149</v>
      </c>
      <c r="B379" s="69"/>
      <c r="C379" s="75" t="s">
        <v>99</v>
      </c>
      <c r="D379" s="8" t="s">
        <v>100</v>
      </c>
      <c r="E379" s="8" t="s">
        <v>101</v>
      </c>
      <c r="F379" s="9" t="s">
        <v>102</v>
      </c>
      <c r="G379" s="11">
        <v>2</v>
      </c>
      <c r="H379" s="11">
        <v>2</v>
      </c>
      <c r="I379" s="25" t="s">
        <v>165</v>
      </c>
      <c r="J379" s="25" t="s">
        <v>165</v>
      </c>
      <c r="K379" s="25" t="s">
        <v>165</v>
      </c>
    </row>
    <row r="380" spans="1:11" ht="66" customHeight="1" x14ac:dyDescent="0.25">
      <c r="A380" s="79"/>
      <c r="B380" s="69"/>
      <c r="C380" s="76"/>
      <c r="D380" s="8" t="s">
        <v>92</v>
      </c>
      <c r="E380" s="23" t="s">
        <v>15</v>
      </c>
      <c r="F380" s="24" t="s">
        <v>7</v>
      </c>
      <c r="G380" s="40">
        <v>3732.7114900000001</v>
      </c>
      <c r="H380" s="40">
        <v>4240.7299999999996</v>
      </c>
      <c r="I380" s="40">
        <v>0</v>
      </c>
      <c r="J380" s="40">
        <v>0</v>
      </c>
      <c r="K380" s="40">
        <v>0</v>
      </c>
    </row>
    <row r="381" spans="1:11" ht="41.25" customHeight="1" x14ac:dyDescent="0.25">
      <c r="A381" s="78" t="s">
        <v>1150</v>
      </c>
      <c r="B381" s="69"/>
      <c r="C381" s="75" t="s">
        <v>103</v>
      </c>
      <c r="D381" s="8" t="s">
        <v>104</v>
      </c>
      <c r="E381" s="8" t="s">
        <v>105</v>
      </c>
      <c r="F381" s="9" t="s">
        <v>22</v>
      </c>
      <c r="G381" s="11">
        <v>2</v>
      </c>
      <c r="H381" s="10">
        <v>2</v>
      </c>
      <c r="I381" s="25" t="s">
        <v>165</v>
      </c>
      <c r="J381" s="25" t="s">
        <v>165</v>
      </c>
      <c r="K381" s="25" t="s">
        <v>165</v>
      </c>
    </row>
    <row r="382" spans="1:11" ht="63" customHeight="1" x14ac:dyDescent="0.25">
      <c r="A382" s="79"/>
      <c r="B382" s="69"/>
      <c r="C382" s="76"/>
      <c r="D382" s="8" t="s">
        <v>92</v>
      </c>
      <c r="E382" s="23" t="s">
        <v>15</v>
      </c>
      <c r="F382" s="24" t="s">
        <v>7</v>
      </c>
      <c r="G382" s="40">
        <v>1422.7497499999999</v>
      </c>
      <c r="H382" s="1">
        <v>1636.47</v>
      </c>
      <c r="I382" s="30">
        <v>0</v>
      </c>
      <c r="J382" s="42">
        <v>0</v>
      </c>
      <c r="K382" s="42">
        <v>0</v>
      </c>
    </row>
    <row r="383" spans="1:11" ht="47.25" x14ac:dyDescent="0.25">
      <c r="A383" s="78" t="s">
        <v>1151</v>
      </c>
      <c r="B383" s="69"/>
      <c r="C383" s="75" t="s">
        <v>106</v>
      </c>
      <c r="D383" s="8" t="s">
        <v>107</v>
      </c>
      <c r="E383" s="8" t="s">
        <v>110</v>
      </c>
      <c r="F383" s="9" t="s">
        <v>108</v>
      </c>
      <c r="G383" s="11">
        <v>8</v>
      </c>
      <c r="H383" s="10">
        <v>8</v>
      </c>
      <c r="I383" s="25" t="s">
        <v>165</v>
      </c>
      <c r="J383" s="25" t="s">
        <v>165</v>
      </c>
      <c r="K383" s="25" t="s">
        <v>165</v>
      </c>
    </row>
    <row r="384" spans="1:11" ht="65.25" customHeight="1" x14ac:dyDescent="0.25">
      <c r="A384" s="79"/>
      <c r="B384" s="69"/>
      <c r="C384" s="76"/>
      <c r="D384" s="8" t="s">
        <v>92</v>
      </c>
      <c r="E384" s="23" t="s">
        <v>15</v>
      </c>
      <c r="F384" s="24" t="s">
        <v>109</v>
      </c>
      <c r="G384" s="40">
        <v>4568.9959500000004</v>
      </c>
      <c r="H384" s="1">
        <v>5199.42</v>
      </c>
      <c r="I384" s="30">
        <v>0</v>
      </c>
      <c r="J384" s="42">
        <v>0</v>
      </c>
      <c r="K384" s="42">
        <v>0</v>
      </c>
    </row>
    <row r="385" spans="1:11" ht="63" x14ac:dyDescent="0.25">
      <c r="A385" s="78" t="s">
        <v>1152</v>
      </c>
      <c r="B385" s="69"/>
      <c r="C385" s="75" t="s">
        <v>111</v>
      </c>
      <c r="D385" s="8" t="s">
        <v>113</v>
      </c>
      <c r="E385" s="8" t="s">
        <v>112</v>
      </c>
      <c r="F385" s="9" t="s">
        <v>108</v>
      </c>
      <c r="G385" s="9">
        <v>8</v>
      </c>
      <c r="H385" s="10">
        <v>8</v>
      </c>
      <c r="I385" s="25" t="s">
        <v>165</v>
      </c>
      <c r="J385" s="25" t="s">
        <v>165</v>
      </c>
      <c r="K385" s="25" t="s">
        <v>165</v>
      </c>
    </row>
    <row r="386" spans="1:11" ht="63" customHeight="1" x14ac:dyDescent="0.25">
      <c r="A386" s="79"/>
      <c r="B386" s="69"/>
      <c r="C386" s="76"/>
      <c r="D386" s="8" t="s">
        <v>92</v>
      </c>
      <c r="E386" s="23" t="s">
        <v>15</v>
      </c>
      <c r="F386" s="24" t="s">
        <v>109</v>
      </c>
      <c r="G386" s="40">
        <v>23590.088749999999</v>
      </c>
      <c r="H386" s="1">
        <v>21456.03</v>
      </c>
      <c r="I386" s="30">
        <v>0</v>
      </c>
      <c r="J386" s="42">
        <v>0</v>
      </c>
      <c r="K386" s="42">
        <v>0</v>
      </c>
    </row>
    <row r="387" spans="1:11" ht="63" customHeight="1" x14ac:dyDescent="0.25">
      <c r="A387" s="78" t="s">
        <v>1153</v>
      </c>
      <c r="B387" s="69"/>
      <c r="C387" s="75" t="s">
        <v>1083</v>
      </c>
      <c r="D387" s="8" t="s">
        <v>1084</v>
      </c>
      <c r="E387" s="8" t="s">
        <v>112</v>
      </c>
      <c r="F387" s="9" t="s">
        <v>22</v>
      </c>
      <c r="G387" s="10" t="s">
        <v>165</v>
      </c>
      <c r="H387" s="10">
        <v>188</v>
      </c>
      <c r="I387" s="25" t="s">
        <v>165</v>
      </c>
      <c r="J387" s="25" t="s">
        <v>165</v>
      </c>
      <c r="K387" s="25" t="s">
        <v>165</v>
      </c>
    </row>
    <row r="388" spans="1:11" ht="63" customHeight="1" x14ac:dyDescent="0.25">
      <c r="A388" s="79"/>
      <c r="B388" s="69"/>
      <c r="C388" s="76"/>
      <c r="D388" s="8" t="s">
        <v>92</v>
      </c>
      <c r="E388" s="23" t="s">
        <v>15</v>
      </c>
      <c r="F388" s="24" t="s">
        <v>109</v>
      </c>
      <c r="G388" s="30">
        <v>0</v>
      </c>
      <c r="H388" s="1">
        <v>4791.34</v>
      </c>
      <c r="I388" s="30">
        <v>0</v>
      </c>
      <c r="J388" s="42">
        <v>0</v>
      </c>
      <c r="K388" s="42">
        <v>0</v>
      </c>
    </row>
    <row r="389" spans="1:11" ht="63" customHeight="1" x14ac:dyDescent="0.25">
      <c r="A389" s="61" t="s">
        <v>64</v>
      </c>
      <c r="B389" s="62"/>
      <c r="C389" s="62"/>
      <c r="D389" s="63"/>
      <c r="E389" s="13" t="s">
        <v>16</v>
      </c>
      <c r="F389" s="14" t="s">
        <v>7</v>
      </c>
      <c r="G389" s="15">
        <f>G369+G374+G378+G380+G382+G384+G386+G388+G372+G376</f>
        <v>53764.459000000003</v>
      </c>
      <c r="H389" s="15">
        <f>H369+H374+H378+H380+H382+H384+H386+H388+H372+H376</f>
        <v>52274.49</v>
      </c>
      <c r="I389" s="15">
        <f>I369+I374+I378+I380+I382+I384+I386+I388+I372+I376</f>
        <v>0</v>
      </c>
      <c r="J389" s="15">
        <f>J369+J374+J378+J380+J382+J384+J386+J388+J372+J376</f>
        <v>0</v>
      </c>
      <c r="K389" s="15">
        <f>K369+K374+K378+K380+K382+K384+K386+K388+K372+K376</f>
        <v>0</v>
      </c>
    </row>
    <row r="390" spans="1:11" ht="47.25" x14ac:dyDescent="0.25">
      <c r="A390" s="79" t="s">
        <v>1154</v>
      </c>
      <c r="B390" s="55" t="s">
        <v>1093</v>
      </c>
      <c r="C390" s="76" t="s">
        <v>87</v>
      </c>
      <c r="D390" s="64" t="s">
        <v>1086</v>
      </c>
      <c r="E390" s="8" t="s">
        <v>1087</v>
      </c>
      <c r="F390" s="24" t="s">
        <v>22</v>
      </c>
      <c r="G390" s="30" t="s">
        <v>165</v>
      </c>
      <c r="H390" s="25" t="s">
        <v>165</v>
      </c>
      <c r="I390" s="25">
        <v>30</v>
      </c>
      <c r="J390" s="43">
        <v>25</v>
      </c>
      <c r="K390" s="43">
        <v>23</v>
      </c>
    </row>
    <row r="391" spans="1:11" ht="47.25" x14ac:dyDescent="0.25">
      <c r="A391" s="79"/>
      <c r="B391" s="56"/>
      <c r="C391" s="76"/>
      <c r="D391" s="65"/>
      <c r="E391" s="8" t="s">
        <v>1088</v>
      </c>
      <c r="F391" s="24" t="s">
        <v>22</v>
      </c>
      <c r="G391" s="30" t="s">
        <v>165</v>
      </c>
      <c r="H391" s="25" t="s">
        <v>165</v>
      </c>
      <c r="I391" s="25">
        <v>30</v>
      </c>
      <c r="J391" s="43">
        <v>25</v>
      </c>
      <c r="K391" s="43">
        <v>23</v>
      </c>
    </row>
    <row r="392" spans="1:11" ht="63" x14ac:dyDescent="0.25">
      <c r="A392" s="80"/>
      <c r="B392" s="56"/>
      <c r="C392" s="77"/>
      <c r="D392" s="41" t="s">
        <v>1091</v>
      </c>
      <c r="E392" s="23" t="s">
        <v>15</v>
      </c>
      <c r="F392" s="24" t="s">
        <v>109</v>
      </c>
      <c r="G392" s="40">
        <v>0</v>
      </c>
      <c r="H392" s="40">
        <v>0</v>
      </c>
      <c r="I392" s="40">
        <f>918.16*2</f>
        <v>1836.32</v>
      </c>
      <c r="J392" s="40">
        <f>795.96*2</f>
        <v>1591.92</v>
      </c>
      <c r="K392" s="40">
        <f>747.08*2</f>
        <v>1494.16</v>
      </c>
    </row>
    <row r="393" spans="1:11" ht="15.75" x14ac:dyDescent="0.25">
      <c r="A393" s="79" t="s">
        <v>1155</v>
      </c>
      <c r="B393" s="56"/>
      <c r="C393" s="76" t="s">
        <v>93</v>
      </c>
      <c r="D393" s="8" t="s">
        <v>1089</v>
      </c>
      <c r="E393" s="8" t="s">
        <v>94</v>
      </c>
      <c r="F393" s="9" t="s">
        <v>22</v>
      </c>
      <c r="G393" s="11" t="s">
        <v>165</v>
      </c>
      <c r="H393" s="10" t="s">
        <v>165</v>
      </c>
      <c r="I393" s="10">
        <v>3038</v>
      </c>
      <c r="J393" s="44">
        <v>2978</v>
      </c>
      <c r="K393" s="44">
        <v>2875</v>
      </c>
    </row>
    <row r="394" spans="1:11" ht="63" x14ac:dyDescent="0.25">
      <c r="A394" s="80"/>
      <c r="B394" s="56"/>
      <c r="C394" s="77"/>
      <c r="D394" s="8" t="s">
        <v>1092</v>
      </c>
      <c r="E394" s="23" t="s">
        <v>15</v>
      </c>
      <c r="F394" s="24" t="s">
        <v>109</v>
      </c>
      <c r="G394" s="40">
        <v>0</v>
      </c>
      <c r="H394" s="30">
        <v>0</v>
      </c>
      <c r="I394" s="1">
        <v>1384.97</v>
      </c>
      <c r="J394" s="40">
        <v>1361.28</v>
      </c>
      <c r="K394" s="40">
        <v>1320.6</v>
      </c>
    </row>
    <row r="395" spans="1:11" ht="47.25" x14ac:dyDescent="0.25">
      <c r="A395" s="78" t="s">
        <v>1156</v>
      </c>
      <c r="B395" s="56"/>
      <c r="C395" s="75" t="s">
        <v>96</v>
      </c>
      <c r="D395" s="8" t="s">
        <v>97</v>
      </c>
      <c r="E395" s="8" t="s">
        <v>98</v>
      </c>
      <c r="F395" s="9" t="s">
        <v>22</v>
      </c>
      <c r="G395" s="11" t="s">
        <v>165</v>
      </c>
      <c r="H395" s="11" t="s">
        <v>165</v>
      </c>
      <c r="I395" s="11">
        <v>3</v>
      </c>
      <c r="J395" s="11">
        <v>2</v>
      </c>
      <c r="K395" s="11">
        <v>2</v>
      </c>
    </row>
    <row r="396" spans="1:11" ht="63" x14ac:dyDescent="0.25">
      <c r="A396" s="80"/>
      <c r="B396" s="56"/>
      <c r="C396" s="77"/>
      <c r="D396" s="8" t="s">
        <v>1091</v>
      </c>
      <c r="E396" s="23" t="s">
        <v>15</v>
      </c>
      <c r="F396" s="24" t="s">
        <v>109</v>
      </c>
      <c r="G396" s="40">
        <v>0</v>
      </c>
      <c r="H396" s="40">
        <v>0</v>
      </c>
      <c r="I396" s="40">
        <v>8406.92</v>
      </c>
      <c r="J396" s="40">
        <v>5666.26</v>
      </c>
      <c r="K396" s="40">
        <v>5666.26</v>
      </c>
    </row>
    <row r="397" spans="1:11" ht="31.5" x14ac:dyDescent="0.25">
      <c r="A397" s="78" t="s">
        <v>1157</v>
      </c>
      <c r="B397" s="56"/>
      <c r="C397" s="75" t="s">
        <v>99</v>
      </c>
      <c r="D397" s="8" t="s">
        <v>100</v>
      </c>
      <c r="E397" s="8" t="s">
        <v>101</v>
      </c>
      <c r="F397" s="9" t="s">
        <v>102</v>
      </c>
      <c r="G397" s="11" t="s">
        <v>165</v>
      </c>
      <c r="H397" s="11" t="s">
        <v>165</v>
      </c>
      <c r="I397" s="11">
        <v>2</v>
      </c>
      <c r="J397" s="11">
        <v>2</v>
      </c>
      <c r="K397" s="11">
        <v>2</v>
      </c>
    </row>
    <row r="398" spans="1:11" ht="63" x14ac:dyDescent="0.25">
      <c r="A398" s="80"/>
      <c r="B398" s="56"/>
      <c r="C398" s="77"/>
      <c r="D398" s="8" t="s">
        <v>1091</v>
      </c>
      <c r="E398" s="23" t="s">
        <v>15</v>
      </c>
      <c r="F398" s="24" t="s">
        <v>109</v>
      </c>
      <c r="G398" s="40">
        <v>0</v>
      </c>
      <c r="H398" s="40">
        <v>0</v>
      </c>
      <c r="I398" s="40">
        <v>4229.79</v>
      </c>
      <c r="J398" s="40">
        <v>4229.79</v>
      </c>
      <c r="K398" s="40">
        <v>4229.79</v>
      </c>
    </row>
    <row r="399" spans="1:11" ht="47.25" x14ac:dyDescent="0.25">
      <c r="A399" s="78" t="s">
        <v>1158</v>
      </c>
      <c r="B399" s="56"/>
      <c r="C399" s="75" t="s">
        <v>103</v>
      </c>
      <c r="D399" s="8" t="s">
        <v>104</v>
      </c>
      <c r="E399" s="8" t="s">
        <v>105</v>
      </c>
      <c r="F399" s="9" t="s">
        <v>22</v>
      </c>
      <c r="G399" s="11" t="s">
        <v>165</v>
      </c>
      <c r="H399" s="10" t="s">
        <v>165</v>
      </c>
      <c r="I399" s="10">
        <v>2</v>
      </c>
      <c r="J399" s="44">
        <v>2</v>
      </c>
      <c r="K399" s="44">
        <v>2</v>
      </c>
    </row>
    <row r="400" spans="1:11" ht="63" x14ac:dyDescent="0.25">
      <c r="A400" s="80"/>
      <c r="B400" s="56"/>
      <c r="C400" s="77"/>
      <c r="D400" s="27" t="s">
        <v>1091</v>
      </c>
      <c r="E400" s="23" t="s">
        <v>15</v>
      </c>
      <c r="F400" s="24" t="s">
        <v>109</v>
      </c>
      <c r="G400" s="45">
        <v>0</v>
      </c>
      <c r="H400" s="40">
        <v>0</v>
      </c>
      <c r="I400" s="40">
        <v>1625.89</v>
      </c>
      <c r="J400" s="40">
        <v>1625.9</v>
      </c>
      <c r="K400" s="40">
        <v>1625.9</v>
      </c>
    </row>
    <row r="401" spans="1:11" ht="47.25" x14ac:dyDescent="0.25">
      <c r="A401" s="78" t="s">
        <v>1159</v>
      </c>
      <c r="B401" s="56"/>
      <c r="C401" s="75" t="s">
        <v>106</v>
      </c>
      <c r="D401" s="8" t="s">
        <v>107</v>
      </c>
      <c r="E401" s="8" t="s">
        <v>110</v>
      </c>
      <c r="F401" s="9" t="s">
        <v>108</v>
      </c>
      <c r="G401" s="11" t="s">
        <v>165</v>
      </c>
      <c r="H401" s="10" t="s">
        <v>165</v>
      </c>
      <c r="I401" s="10">
        <v>6</v>
      </c>
      <c r="J401" s="44">
        <v>5</v>
      </c>
      <c r="K401" s="44">
        <v>5</v>
      </c>
    </row>
    <row r="402" spans="1:11" ht="63" x14ac:dyDescent="0.25">
      <c r="A402" s="80"/>
      <c r="B402" s="56"/>
      <c r="C402" s="77"/>
      <c r="D402" s="27" t="s">
        <v>1091</v>
      </c>
      <c r="E402" s="23" t="s">
        <v>15</v>
      </c>
      <c r="F402" s="24" t="s">
        <v>109</v>
      </c>
      <c r="G402" s="40">
        <v>0</v>
      </c>
      <c r="H402" s="40">
        <v>0</v>
      </c>
      <c r="I402" s="40">
        <v>3937.58</v>
      </c>
      <c r="J402" s="40">
        <v>3312.14</v>
      </c>
      <c r="K402" s="40">
        <v>3312.14</v>
      </c>
    </row>
    <row r="403" spans="1:11" ht="63" x14ac:dyDescent="0.25">
      <c r="A403" s="78" t="s">
        <v>1160</v>
      </c>
      <c r="B403" s="56"/>
      <c r="C403" s="75" t="s">
        <v>111</v>
      </c>
      <c r="D403" s="8" t="s">
        <v>113</v>
      </c>
      <c r="E403" s="8" t="s">
        <v>112</v>
      </c>
      <c r="F403" s="9" t="s">
        <v>108</v>
      </c>
      <c r="G403" s="9" t="s">
        <v>165</v>
      </c>
      <c r="H403" s="10" t="s">
        <v>165</v>
      </c>
      <c r="I403" s="10">
        <v>7</v>
      </c>
      <c r="J403" s="44">
        <v>5</v>
      </c>
      <c r="K403" s="44">
        <v>5</v>
      </c>
    </row>
    <row r="404" spans="1:11" ht="63" x14ac:dyDescent="0.25">
      <c r="A404" s="80"/>
      <c r="B404" s="56"/>
      <c r="C404" s="77"/>
      <c r="D404" s="27" t="s">
        <v>1091</v>
      </c>
      <c r="E404" s="23" t="s">
        <v>15</v>
      </c>
      <c r="F404" s="24" t="s">
        <v>109</v>
      </c>
      <c r="G404" s="40">
        <v>0</v>
      </c>
      <c r="H404" s="40">
        <v>0</v>
      </c>
      <c r="I404" s="40">
        <v>18787.560000000001</v>
      </c>
      <c r="J404" s="40">
        <v>13472.52</v>
      </c>
      <c r="K404" s="40">
        <v>13472.52</v>
      </c>
    </row>
    <row r="405" spans="1:11" ht="63" x14ac:dyDescent="0.25">
      <c r="A405" s="78" t="s">
        <v>1161</v>
      </c>
      <c r="B405" s="56"/>
      <c r="C405" s="75" t="s">
        <v>1083</v>
      </c>
      <c r="D405" s="8" t="s">
        <v>1084</v>
      </c>
      <c r="E405" s="8" t="s">
        <v>112</v>
      </c>
      <c r="F405" s="9" t="s">
        <v>22</v>
      </c>
      <c r="G405" s="10" t="s">
        <v>165</v>
      </c>
      <c r="H405" s="10" t="s">
        <v>165</v>
      </c>
      <c r="I405" s="10">
        <v>132</v>
      </c>
      <c r="J405" s="44">
        <v>125</v>
      </c>
      <c r="K405" s="44">
        <v>111</v>
      </c>
    </row>
    <row r="406" spans="1:11" ht="63" x14ac:dyDescent="0.25">
      <c r="A406" s="80"/>
      <c r="B406" s="56"/>
      <c r="C406" s="77"/>
      <c r="D406" s="27" t="s">
        <v>1091</v>
      </c>
      <c r="E406" s="23" t="s">
        <v>15</v>
      </c>
      <c r="F406" s="24" t="s">
        <v>109</v>
      </c>
      <c r="G406" s="40">
        <v>0</v>
      </c>
      <c r="H406" s="40">
        <v>0</v>
      </c>
      <c r="I406" s="40">
        <v>3411.28</v>
      </c>
      <c r="J406" s="40">
        <v>3240.19</v>
      </c>
      <c r="K406" s="40">
        <v>2898.03</v>
      </c>
    </row>
    <row r="407" spans="1:11" ht="31.5" x14ac:dyDescent="0.25">
      <c r="A407" s="55" t="s">
        <v>1162</v>
      </c>
      <c r="B407" s="56"/>
      <c r="C407" s="55" t="s">
        <v>1139</v>
      </c>
      <c r="D407" s="27" t="s">
        <v>324</v>
      </c>
      <c r="E407" s="8" t="s">
        <v>1141</v>
      </c>
      <c r="F407" s="9" t="s">
        <v>22</v>
      </c>
      <c r="G407" s="10" t="s">
        <v>165</v>
      </c>
      <c r="H407" s="10" t="s">
        <v>165</v>
      </c>
      <c r="I407" s="10">
        <v>3900</v>
      </c>
      <c r="J407" s="10">
        <v>3900</v>
      </c>
      <c r="K407" s="10">
        <v>3900</v>
      </c>
    </row>
    <row r="408" spans="1:11" ht="63" x14ac:dyDescent="0.25">
      <c r="A408" s="56"/>
      <c r="B408" s="56"/>
      <c r="C408" s="56"/>
      <c r="D408" s="27" t="s">
        <v>1142</v>
      </c>
      <c r="E408" s="8" t="s">
        <v>15</v>
      </c>
      <c r="F408" s="9" t="s">
        <v>109</v>
      </c>
      <c r="G408" s="40">
        <v>0</v>
      </c>
      <c r="H408" s="40">
        <v>0</v>
      </c>
      <c r="I408" s="40">
        <v>9900</v>
      </c>
      <c r="J408" s="40">
        <v>8800</v>
      </c>
      <c r="K408" s="40">
        <v>8800</v>
      </c>
    </row>
    <row r="409" spans="1:11" ht="31.5" x14ac:dyDescent="0.25">
      <c r="A409" s="56"/>
      <c r="B409" s="56"/>
      <c r="C409" s="56"/>
      <c r="D409" s="27" t="s">
        <v>324</v>
      </c>
      <c r="E409" s="8" t="s">
        <v>1143</v>
      </c>
      <c r="F409" s="9" t="s">
        <v>22</v>
      </c>
      <c r="G409" s="10" t="s">
        <v>165</v>
      </c>
      <c r="H409" s="10" t="s">
        <v>165</v>
      </c>
      <c r="I409" s="10">
        <v>17590</v>
      </c>
      <c r="J409" s="10">
        <v>17590</v>
      </c>
      <c r="K409" s="10">
        <v>17590</v>
      </c>
    </row>
    <row r="410" spans="1:11" ht="63" x14ac:dyDescent="0.25">
      <c r="A410" s="57"/>
      <c r="B410" s="56"/>
      <c r="C410" s="57"/>
      <c r="D410" s="27" t="s">
        <v>1142</v>
      </c>
      <c r="E410" s="8" t="s">
        <v>15</v>
      </c>
      <c r="F410" s="9" t="s">
        <v>109</v>
      </c>
      <c r="G410" s="40">
        <v>0</v>
      </c>
      <c r="H410" s="40">
        <v>0</v>
      </c>
      <c r="I410" s="30">
        <v>30732.9</v>
      </c>
      <c r="J410" s="30">
        <v>22884.3</v>
      </c>
      <c r="K410" s="30">
        <v>22533.599999999999</v>
      </c>
    </row>
    <row r="411" spans="1:11" ht="15.75" x14ac:dyDescent="0.25">
      <c r="A411" s="55" t="s">
        <v>1163</v>
      </c>
      <c r="B411" s="56"/>
      <c r="C411" s="55" t="s">
        <v>1144</v>
      </c>
      <c r="D411" s="27" t="s">
        <v>1140</v>
      </c>
      <c r="E411" s="8" t="s">
        <v>370</v>
      </c>
      <c r="F411" s="9" t="s">
        <v>22</v>
      </c>
      <c r="G411" s="10" t="s">
        <v>165</v>
      </c>
      <c r="H411" s="10" t="s">
        <v>165</v>
      </c>
      <c r="I411" s="10">
        <v>1667</v>
      </c>
      <c r="J411" s="10">
        <v>1667</v>
      </c>
      <c r="K411" s="10">
        <v>1667</v>
      </c>
    </row>
    <row r="412" spans="1:11" ht="63" x14ac:dyDescent="0.25">
      <c r="A412" s="57"/>
      <c r="B412" s="57"/>
      <c r="C412" s="57"/>
      <c r="D412" s="27" t="s">
        <v>1145</v>
      </c>
      <c r="E412" s="8" t="s">
        <v>16</v>
      </c>
      <c r="F412" s="9" t="s">
        <v>109</v>
      </c>
      <c r="G412" s="40">
        <v>0</v>
      </c>
      <c r="H412" s="40">
        <v>0</v>
      </c>
      <c r="I412" s="40">
        <v>2770</v>
      </c>
      <c r="J412" s="40">
        <v>2650</v>
      </c>
      <c r="K412" s="40">
        <v>2550</v>
      </c>
    </row>
    <row r="413" spans="1:11" ht="63" customHeight="1" x14ac:dyDescent="0.25">
      <c r="A413" s="61" t="s">
        <v>1094</v>
      </c>
      <c r="B413" s="62"/>
      <c r="C413" s="62"/>
      <c r="D413" s="63"/>
      <c r="E413" s="13" t="s">
        <v>16</v>
      </c>
      <c r="F413" s="14" t="s">
        <v>7</v>
      </c>
      <c r="G413" s="15">
        <f>G406+G404+G402+G400+G398+G396+G394+G392+G408+G410+G412</f>
        <v>0</v>
      </c>
      <c r="H413" s="15">
        <f t="shared" ref="H413:K413" si="15">H406+H404+H402+H400+H398+H396+H394+H392+H408+H410+H412</f>
        <v>0</v>
      </c>
      <c r="I413" s="15">
        <f t="shared" si="15"/>
        <v>87023.209999999992</v>
      </c>
      <c r="J413" s="15">
        <f t="shared" si="15"/>
        <v>68834.3</v>
      </c>
      <c r="K413" s="15">
        <f t="shared" si="15"/>
        <v>67903</v>
      </c>
    </row>
    <row r="414" spans="1:11" ht="27" customHeight="1" x14ac:dyDescent="0.25">
      <c r="A414" s="78" t="s">
        <v>1172</v>
      </c>
      <c r="B414" s="55" t="s">
        <v>1095</v>
      </c>
      <c r="C414" s="55" t="s">
        <v>114</v>
      </c>
      <c r="D414" s="8" t="s">
        <v>116</v>
      </c>
      <c r="E414" s="8" t="s">
        <v>115</v>
      </c>
      <c r="F414" s="9" t="s">
        <v>22</v>
      </c>
      <c r="G414" s="10">
        <v>4234</v>
      </c>
      <c r="H414" s="44">
        <v>4664</v>
      </c>
      <c r="I414" s="44">
        <v>4000</v>
      </c>
      <c r="J414" s="44">
        <v>4000</v>
      </c>
      <c r="K414" s="44">
        <v>4000</v>
      </c>
    </row>
    <row r="415" spans="1:11" ht="63" x14ac:dyDescent="0.25">
      <c r="A415" s="80"/>
      <c r="B415" s="56"/>
      <c r="C415" s="57"/>
      <c r="D415" s="8" t="s">
        <v>117</v>
      </c>
      <c r="E415" s="8" t="s">
        <v>15</v>
      </c>
      <c r="F415" s="9" t="s">
        <v>109</v>
      </c>
      <c r="G415" s="40">
        <v>4558.4758300000003</v>
      </c>
      <c r="H415" s="40">
        <v>5021.46</v>
      </c>
      <c r="I415" s="40">
        <v>4306.57</v>
      </c>
      <c r="J415" s="40">
        <v>4306.57</v>
      </c>
      <c r="K415" s="40">
        <v>4306.57</v>
      </c>
    </row>
    <row r="416" spans="1:11" ht="31.5" x14ac:dyDescent="0.25">
      <c r="A416" s="78" t="s">
        <v>1173</v>
      </c>
      <c r="B416" s="56"/>
      <c r="C416" s="55" t="s">
        <v>118</v>
      </c>
      <c r="D416" s="8" t="s">
        <v>120</v>
      </c>
      <c r="E416" s="8" t="s">
        <v>119</v>
      </c>
      <c r="F416" s="9" t="s">
        <v>22</v>
      </c>
      <c r="G416" s="11">
        <v>172</v>
      </c>
      <c r="H416" s="11" t="s">
        <v>165</v>
      </c>
      <c r="I416" s="11" t="s">
        <v>165</v>
      </c>
      <c r="J416" s="11" t="s">
        <v>165</v>
      </c>
      <c r="K416" s="11" t="s">
        <v>165</v>
      </c>
    </row>
    <row r="417" spans="1:12" ht="63" x14ac:dyDescent="0.25">
      <c r="A417" s="79"/>
      <c r="B417" s="56"/>
      <c r="C417" s="56"/>
      <c r="D417" s="8" t="s">
        <v>117</v>
      </c>
      <c r="E417" s="8" t="s">
        <v>15</v>
      </c>
      <c r="F417" s="9" t="s">
        <v>109</v>
      </c>
      <c r="G417" s="40">
        <v>2516.7867299999998</v>
      </c>
      <c r="H417" s="40">
        <v>0</v>
      </c>
      <c r="I417" s="40">
        <v>0</v>
      </c>
      <c r="J417" s="40">
        <v>0</v>
      </c>
      <c r="K417" s="40">
        <v>0</v>
      </c>
    </row>
    <row r="418" spans="1:12" ht="31.5" x14ac:dyDescent="0.25">
      <c r="A418" s="79"/>
      <c r="B418" s="56"/>
      <c r="C418" s="56"/>
      <c r="D418" s="8" t="s">
        <v>1097</v>
      </c>
      <c r="E418" s="8" t="s">
        <v>119</v>
      </c>
      <c r="F418" s="9" t="s">
        <v>22</v>
      </c>
      <c r="G418" s="40" t="s">
        <v>165</v>
      </c>
      <c r="H418" s="44">
        <v>140</v>
      </c>
      <c r="I418" s="44">
        <v>30</v>
      </c>
      <c r="J418" s="44">
        <v>30</v>
      </c>
      <c r="K418" s="44">
        <v>30</v>
      </c>
    </row>
    <row r="419" spans="1:12" ht="63" x14ac:dyDescent="0.25">
      <c r="A419" s="80"/>
      <c r="B419" s="56"/>
      <c r="C419" s="57"/>
      <c r="D419" s="8" t="s">
        <v>117</v>
      </c>
      <c r="E419" s="8" t="s">
        <v>15</v>
      </c>
      <c r="F419" s="9" t="s">
        <v>109</v>
      </c>
      <c r="G419" s="40">
        <v>0</v>
      </c>
      <c r="H419" s="40">
        <v>2048.56</v>
      </c>
      <c r="I419" s="40">
        <v>438.98</v>
      </c>
      <c r="J419" s="40">
        <v>438.98</v>
      </c>
      <c r="K419" s="40">
        <v>438.98</v>
      </c>
    </row>
    <row r="420" spans="1:12" ht="31.5" x14ac:dyDescent="0.25">
      <c r="A420" s="78" t="s">
        <v>1174</v>
      </c>
      <c r="B420" s="56"/>
      <c r="C420" s="55" t="s">
        <v>121</v>
      </c>
      <c r="D420" s="8" t="s">
        <v>123</v>
      </c>
      <c r="E420" s="8" t="s">
        <v>122</v>
      </c>
      <c r="F420" s="9" t="s">
        <v>22</v>
      </c>
      <c r="G420" s="10">
        <v>242937</v>
      </c>
      <c r="H420" s="10" t="s">
        <v>165</v>
      </c>
      <c r="I420" s="10" t="s">
        <v>165</v>
      </c>
      <c r="J420" s="10" t="s">
        <v>165</v>
      </c>
      <c r="K420" s="10" t="s">
        <v>165</v>
      </c>
    </row>
    <row r="421" spans="1:12" ht="63" x14ac:dyDescent="0.25">
      <c r="A421" s="79"/>
      <c r="B421" s="56"/>
      <c r="C421" s="56"/>
      <c r="D421" s="8" t="s">
        <v>117</v>
      </c>
      <c r="E421" s="8" t="s">
        <v>15</v>
      </c>
      <c r="F421" s="9" t="s">
        <v>109</v>
      </c>
      <c r="G421" s="40">
        <v>2516.3685500000001</v>
      </c>
      <c r="H421" s="40">
        <v>0</v>
      </c>
      <c r="I421" s="40">
        <v>0</v>
      </c>
      <c r="J421" s="40">
        <v>0</v>
      </c>
      <c r="K421" s="40">
        <v>0</v>
      </c>
    </row>
    <row r="422" spans="1:12" ht="31.5" x14ac:dyDescent="0.25">
      <c r="A422" s="79"/>
      <c r="B422" s="56"/>
      <c r="C422" s="56"/>
      <c r="D422" s="8" t="s">
        <v>1098</v>
      </c>
      <c r="E422" s="8" t="s">
        <v>122</v>
      </c>
      <c r="F422" s="9" t="s">
        <v>22</v>
      </c>
      <c r="G422" s="40" t="s">
        <v>165</v>
      </c>
      <c r="H422" s="44">
        <v>243149</v>
      </c>
      <c r="I422" s="44">
        <v>243149</v>
      </c>
      <c r="J422" s="44">
        <v>243179</v>
      </c>
      <c r="K422" s="44">
        <v>243209</v>
      </c>
    </row>
    <row r="423" spans="1:12" ht="63" x14ac:dyDescent="0.25">
      <c r="A423" s="80"/>
      <c r="B423" s="56"/>
      <c r="C423" s="57"/>
      <c r="D423" s="8" t="s">
        <v>117</v>
      </c>
      <c r="E423" s="8" t="s">
        <v>15</v>
      </c>
      <c r="F423" s="9" t="s">
        <v>109</v>
      </c>
      <c r="G423" s="40">
        <v>0</v>
      </c>
      <c r="H423" s="40">
        <v>2518.6</v>
      </c>
      <c r="I423" s="40">
        <v>2518.6</v>
      </c>
      <c r="J423" s="40">
        <v>2518.91</v>
      </c>
      <c r="K423" s="40">
        <v>2519.1999999999998</v>
      </c>
    </row>
    <row r="424" spans="1:12" ht="47.25" customHeight="1" x14ac:dyDescent="0.25">
      <c r="A424" s="78" t="s">
        <v>1175</v>
      </c>
      <c r="B424" s="56"/>
      <c r="C424" s="55" t="s">
        <v>1099</v>
      </c>
      <c r="D424" s="8" t="s">
        <v>125</v>
      </c>
      <c r="E424" s="8" t="s">
        <v>124</v>
      </c>
      <c r="F424" s="9" t="s">
        <v>22</v>
      </c>
      <c r="G424" s="11">
        <f>124+46</f>
        <v>170</v>
      </c>
      <c r="H424" s="11" t="s">
        <v>165</v>
      </c>
      <c r="I424" s="11" t="s">
        <v>165</v>
      </c>
      <c r="J424" s="11" t="s">
        <v>165</v>
      </c>
      <c r="K424" s="11" t="s">
        <v>165</v>
      </c>
      <c r="L424" s="46"/>
    </row>
    <row r="425" spans="1:12" ht="63" x14ac:dyDescent="0.25">
      <c r="A425" s="79"/>
      <c r="B425" s="56"/>
      <c r="C425" s="56"/>
      <c r="D425" s="8" t="s">
        <v>117</v>
      </c>
      <c r="E425" s="8" t="s">
        <v>15</v>
      </c>
      <c r="F425" s="9" t="s">
        <v>109</v>
      </c>
      <c r="G425" s="1">
        <f>2706.33029+3059.5</f>
        <v>5765.8302899999999</v>
      </c>
      <c r="H425" s="1">
        <v>0</v>
      </c>
      <c r="I425" s="1">
        <v>0</v>
      </c>
      <c r="J425" s="1">
        <v>0</v>
      </c>
      <c r="K425" s="1">
        <v>0</v>
      </c>
    </row>
    <row r="426" spans="1:12" ht="47.25" x14ac:dyDescent="0.25">
      <c r="A426" s="79"/>
      <c r="B426" s="56"/>
      <c r="C426" s="56"/>
      <c r="D426" s="8" t="s">
        <v>125</v>
      </c>
      <c r="E426" s="8" t="s">
        <v>124</v>
      </c>
      <c r="F426" s="9" t="s">
        <v>22</v>
      </c>
      <c r="G426" s="1" t="s">
        <v>165</v>
      </c>
      <c r="H426" s="44">
        <v>180</v>
      </c>
      <c r="I426" s="44">
        <v>100</v>
      </c>
      <c r="J426" s="44">
        <v>100</v>
      </c>
      <c r="K426" s="44">
        <v>100</v>
      </c>
    </row>
    <row r="427" spans="1:12" ht="63" x14ac:dyDescent="0.25">
      <c r="A427" s="80"/>
      <c r="B427" s="56"/>
      <c r="C427" s="57"/>
      <c r="D427" s="8" t="s">
        <v>117</v>
      </c>
      <c r="E427" s="8" t="s">
        <v>15</v>
      </c>
      <c r="F427" s="9" t="s">
        <v>109</v>
      </c>
      <c r="G427" s="1">
        <v>0</v>
      </c>
      <c r="H427" s="1">
        <v>3928.5</v>
      </c>
      <c r="I427" s="1">
        <v>2182.5</v>
      </c>
      <c r="J427" s="1">
        <v>2182.5</v>
      </c>
      <c r="K427" s="1">
        <v>2182.5</v>
      </c>
    </row>
    <row r="428" spans="1:12" ht="31.5" x14ac:dyDescent="0.25">
      <c r="A428" s="78" t="s">
        <v>1176</v>
      </c>
      <c r="B428" s="56"/>
      <c r="C428" s="55" t="s">
        <v>1100</v>
      </c>
      <c r="D428" s="8" t="s">
        <v>1102</v>
      </c>
      <c r="E428" s="8" t="s">
        <v>1101</v>
      </c>
      <c r="F428" s="9" t="s">
        <v>22</v>
      </c>
      <c r="G428" s="10" t="s">
        <v>165</v>
      </c>
      <c r="H428" s="44">
        <v>67</v>
      </c>
      <c r="I428" s="44">
        <v>119</v>
      </c>
      <c r="J428" s="44">
        <v>119</v>
      </c>
      <c r="K428" s="44">
        <v>119</v>
      </c>
    </row>
    <row r="429" spans="1:12" ht="63" x14ac:dyDescent="0.25">
      <c r="A429" s="80"/>
      <c r="B429" s="56"/>
      <c r="C429" s="57"/>
      <c r="D429" s="8" t="s">
        <v>117</v>
      </c>
      <c r="E429" s="8" t="s">
        <v>16</v>
      </c>
      <c r="F429" s="9" t="s">
        <v>109</v>
      </c>
      <c r="G429" s="1">
        <v>0</v>
      </c>
      <c r="H429" s="1">
        <v>4559.5</v>
      </c>
      <c r="I429" s="1">
        <v>8098.21</v>
      </c>
      <c r="J429" s="1">
        <v>8098.21</v>
      </c>
      <c r="K429" s="1">
        <v>8098.2</v>
      </c>
    </row>
    <row r="430" spans="1:12" ht="94.5" customHeight="1" x14ac:dyDescent="0.25">
      <c r="A430" s="55" t="s">
        <v>1177</v>
      </c>
      <c r="B430" s="56"/>
      <c r="C430" s="55" t="s">
        <v>1164</v>
      </c>
      <c r="D430" s="8" t="s">
        <v>1165</v>
      </c>
      <c r="E430" s="47" t="s">
        <v>1166</v>
      </c>
      <c r="F430" s="9" t="s">
        <v>22</v>
      </c>
      <c r="G430" s="10" t="s">
        <v>165</v>
      </c>
      <c r="H430" s="44">
        <v>18076.620000000003</v>
      </c>
      <c r="I430" s="44">
        <v>17557.900000000001</v>
      </c>
      <c r="J430" s="44">
        <v>21109.199999999997</v>
      </c>
      <c r="K430" s="44">
        <v>21109.200000000001</v>
      </c>
    </row>
    <row r="431" spans="1:12" ht="63" x14ac:dyDescent="0.25">
      <c r="A431" s="57"/>
      <c r="B431" s="56"/>
      <c r="C431" s="57"/>
      <c r="D431" s="8" t="s">
        <v>117</v>
      </c>
      <c r="E431" s="8" t="s">
        <v>16</v>
      </c>
      <c r="F431" s="9" t="s">
        <v>109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</row>
    <row r="432" spans="1:12" ht="94.5" x14ac:dyDescent="0.25">
      <c r="A432" s="55" t="s">
        <v>1178</v>
      </c>
      <c r="B432" s="56"/>
      <c r="C432" s="55" t="s">
        <v>1167</v>
      </c>
      <c r="D432" s="8" t="s">
        <v>1169</v>
      </c>
      <c r="E432" s="8" t="s">
        <v>1168</v>
      </c>
      <c r="F432" s="9" t="s">
        <v>22</v>
      </c>
      <c r="G432" s="30" t="s">
        <v>165</v>
      </c>
      <c r="H432" s="42">
        <v>1</v>
      </c>
      <c r="I432" s="42" t="s">
        <v>165</v>
      </c>
      <c r="J432" s="42" t="s">
        <v>165</v>
      </c>
      <c r="K432" s="42" t="s">
        <v>165</v>
      </c>
    </row>
    <row r="433" spans="1:12" ht="63" x14ac:dyDescent="0.25">
      <c r="A433" s="57"/>
      <c r="B433" s="56"/>
      <c r="C433" s="57"/>
      <c r="D433" s="8" t="s">
        <v>117</v>
      </c>
      <c r="E433" s="8" t="s">
        <v>16</v>
      </c>
      <c r="F433" s="9" t="s">
        <v>109</v>
      </c>
      <c r="G433" s="30">
        <v>0</v>
      </c>
      <c r="H433" s="1">
        <v>5295.28</v>
      </c>
      <c r="I433" s="1">
        <v>0</v>
      </c>
      <c r="J433" s="1">
        <v>0</v>
      </c>
      <c r="K433" s="1">
        <v>0</v>
      </c>
    </row>
    <row r="434" spans="1:12" ht="126" x14ac:dyDescent="0.25">
      <c r="A434" s="55" t="s">
        <v>1179</v>
      </c>
      <c r="B434" s="56"/>
      <c r="C434" s="55" t="s">
        <v>1103</v>
      </c>
      <c r="D434" s="9" t="s">
        <v>1170</v>
      </c>
      <c r="E434" s="47" t="s">
        <v>1171</v>
      </c>
      <c r="F434" s="9" t="s">
        <v>1104</v>
      </c>
      <c r="G434" s="10" t="s">
        <v>165</v>
      </c>
      <c r="H434" s="44" t="s">
        <v>165</v>
      </c>
      <c r="I434" s="44">
        <v>1</v>
      </c>
      <c r="J434" s="44">
        <v>1</v>
      </c>
      <c r="K434" s="44">
        <v>1</v>
      </c>
    </row>
    <row r="435" spans="1:12" ht="63" x14ac:dyDescent="0.25">
      <c r="A435" s="57"/>
      <c r="B435" s="57"/>
      <c r="C435" s="57"/>
      <c r="D435" s="9" t="s">
        <v>117</v>
      </c>
      <c r="E435" s="8" t="s">
        <v>16</v>
      </c>
      <c r="F435" s="9" t="s">
        <v>109</v>
      </c>
      <c r="G435" s="1">
        <v>0</v>
      </c>
      <c r="H435" s="1">
        <v>0</v>
      </c>
      <c r="I435" s="1">
        <v>13.04</v>
      </c>
      <c r="J435" s="1">
        <v>3564.03</v>
      </c>
      <c r="K435" s="1">
        <v>3563.72</v>
      </c>
    </row>
    <row r="436" spans="1:12" ht="63" customHeight="1" x14ac:dyDescent="0.25">
      <c r="A436" s="61" t="s">
        <v>1096</v>
      </c>
      <c r="B436" s="62"/>
      <c r="C436" s="62"/>
      <c r="D436" s="63"/>
      <c r="E436" s="13" t="s">
        <v>16</v>
      </c>
      <c r="F436" s="14" t="s">
        <v>7</v>
      </c>
      <c r="G436" s="15">
        <f>G415+G417+G421+G425+G423+G419+G427+G431+G429+G433+G435</f>
        <v>15357.4614</v>
      </c>
      <c r="H436" s="15">
        <f t="shared" ref="H436:J436" si="16">H415+H417+H421+H425+H423+H419+H427+H431+H429+H433+H435</f>
        <v>23371.899999999998</v>
      </c>
      <c r="I436" s="15">
        <f t="shared" si="16"/>
        <v>17557.900000000001</v>
      </c>
      <c r="J436" s="15">
        <f t="shared" si="16"/>
        <v>21109.199999999997</v>
      </c>
      <c r="K436" s="15">
        <f>K415+K417+K421+K425+K423+K419+K427+K431+K429+K433+K435</f>
        <v>21109.170000000002</v>
      </c>
    </row>
    <row r="437" spans="1:12" ht="63" customHeight="1" x14ac:dyDescent="0.25">
      <c r="A437" s="58" t="s">
        <v>126</v>
      </c>
      <c r="B437" s="59"/>
      <c r="C437" s="59"/>
      <c r="D437" s="60"/>
      <c r="E437" s="16" t="s">
        <v>16</v>
      </c>
      <c r="F437" s="17" t="s">
        <v>7</v>
      </c>
      <c r="G437" s="18">
        <f>G436+G413+G389</f>
        <v>69121.920400000003</v>
      </c>
      <c r="H437" s="18">
        <f>H436+H413+H389</f>
        <v>75646.39</v>
      </c>
      <c r="I437" s="18">
        <f>I436+I413+I389</f>
        <v>104581.10999999999</v>
      </c>
      <c r="J437" s="18">
        <f>J436+J413+J389</f>
        <v>89943.5</v>
      </c>
      <c r="K437" s="18">
        <f>K436+K413+K389</f>
        <v>89012.17</v>
      </c>
      <c r="L437" s="48"/>
    </row>
    <row r="438" spans="1:12" ht="15.75" customHeight="1" x14ac:dyDescent="0.25">
      <c r="A438" s="29" t="s">
        <v>904</v>
      </c>
      <c r="B438" s="66" t="s">
        <v>78</v>
      </c>
      <c r="C438" s="67"/>
      <c r="D438" s="67"/>
      <c r="E438" s="67"/>
      <c r="F438" s="67"/>
      <c r="G438" s="67"/>
      <c r="H438" s="67"/>
      <c r="I438" s="67"/>
      <c r="J438" s="67"/>
      <c r="K438" s="68"/>
    </row>
    <row r="439" spans="1:12" ht="34.5" customHeight="1" x14ac:dyDescent="0.25">
      <c r="A439" s="55" t="s">
        <v>905</v>
      </c>
      <c r="B439" s="55" t="s">
        <v>79</v>
      </c>
      <c r="C439" s="55" t="s">
        <v>80</v>
      </c>
      <c r="D439" s="8" t="s">
        <v>81</v>
      </c>
      <c r="E439" s="8" t="s">
        <v>82</v>
      </c>
      <c r="F439" s="9" t="s">
        <v>22</v>
      </c>
      <c r="G439" s="10">
        <v>899574</v>
      </c>
      <c r="H439" s="10">
        <v>925048</v>
      </c>
      <c r="I439" s="10">
        <v>655889</v>
      </c>
      <c r="J439" s="10">
        <v>516031</v>
      </c>
      <c r="K439" s="10">
        <v>509438</v>
      </c>
    </row>
    <row r="440" spans="1:12" ht="63" x14ac:dyDescent="0.25">
      <c r="A440" s="57"/>
      <c r="B440" s="57"/>
      <c r="C440" s="57"/>
      <c r="D440" s="8" t="s">
        <v>83</v>
      </c>
      <c r="E440" s="8" t="s">
        <v>16</v>
      </c>
      <c r="F440" s="9" t="s">
        <v>7</v>
      </c>
      <c r="G440" s="1">
        <v>184478.1</v>
      </c>
      <c r="H440" s="1">
        <v>240003.1</v>
      </c>
      <c r="I440" s="1">
        <v>188450.1</v>
      </c>
      <c r="J440" s="1">
        <v>148266</v>
      </c>
      <c r="K440" s="1">
        <v>146371.70000000001</v>
      </c>
    </row>
    <row r="441" spans="1:12" ht="63" customHeight="1" x14ac:dyDescent="0.25">
      <c r="A441" s="61" t="s">
        <v>84</v>
      </c>
      <c r="B441" s="62"/>
      <c r="C441" s="62"/>
      <c r="D441" s="63"/>
      <c r="E441" s="13" t="s">
        <v>16</v>
      </c>
      <c r="F441" s="14" t="s">
        <v>7</v>
      </c>
      <c r="G441" s="15">
        <f t="shared" ref="G441:K442" si="17">G440</f>
        <v>184478.1</v>
      </c>
      <c r="H441" s="15">
        <f t="shared" si="17"/>
        <v>240003.1</v>
      </c>
      <c r="I441" s="15">
        <f t="shared" si="17"/>
        <v>188450.1</v>
      </c>
      <c r="J441" s="15">
        <f t="shared" si="17"/>
        <v>148266</v>
      </c>
      <c r="K441" s="15">
        <f t="shared" si="17"/>
        <v>146371.70000000001</v>
      </c>
    </row>
    <row r="442" spans="1:12" ht="63" customHeight="1" x14ac:dyDescent="0.25">
      <c r="A442" s="58" t="s">
        <v>85</v>
      </c>
      <c r="B442" s="59"/>
      <c r="C442" s="59"/>
      <c r="D442" s="60"/>
      <c r="E442" s="16" t="s">
        <v>16</v>
      </c>
      <c r="F442" s="17" t="s">
        <v>7</v>
      </c>
      <c r="G442" s="18">
        <f t="shared" si="17"/>
        <v>184478.1</v>
      </c>
      <c r="H442" s="18">
        <f t="shared" si="17"/>
        <v>240003.1</v>
      </c>
      <c r="I442" s="18">
        <f t="shared" si="17"/>
        <v>188450.1</v>
      </c>
      <c r="J442" s="18">
        <f t="shared" si="17"/>
        <v>148266</v>
      </c>
      <c r="K442" s="18">
        <f t="shared" si="17"/>
        <v>146371.70000000001</v>
      </c>
    </row>
    <row r="443" spans="1:12" ht="15.75" customHeight="1" x14ac:dyDescent="0.25">
      <c r="A443" s="29" t="s">
        <v>906</v>
      </c>
      <c r="B443" s="66" t="s">
        <v>597</v>
      </c>
      <c r="C443" s="67"/>
      <c r="D443" s="67"/>
      <c r="E443" s="67"/>
      <c r="F443" s="67"/>
      <c r="G443" s="67"/>
      <c r="H443" s="67"/>
      <c r="I443" s="67"/>
      <c r="J443" s="67"/>
      <c r="K443" s="68"/>
    </row>
    <row r="444" spans="1:12" ht="83.25" customHeight="1" x14ac:dyDescent="0.25">
      <c r="A444" s="69" t="s">
        <v>907</v>
      </c>
      <c r="B444" s="75" t="s">
        <v>599</v>
      </c>
      <c r="C444" s="69" t="s">
        <v>603</v>
      </c>
      <c r="D444" s="28" t="s">
        <v>600</v>
      </c>
      <c r="E444" s="8" t="s">
        <v>604</v>
      </c>
      <c r="F444" s="9" t="s">
        <v>68</v>
      </c>
      <c r="G444" s="10">
        <v>78</v>
      </c>
      <c r="H444" s="10" t="s">
        <v>165</v>
      </c>
      <c r="I444" s="10" t="s">
        <v>165</v>
      </c>
      <c r="J444" s="10" t="s">
        <v>165</v>
      </c>
      <c r="K444" s="10" t="s">
        <v>165</v>
      </c>
    </row>
    <row r="445" spans="1:12" ht="68.25" customHeight="1" x14ac:dyDescent="0.25">
      <c r="A445" s="69"/>
      <c r="B445" s="76"/>
      <c r="C445" s="69"/>
      <c r="D445" s="28" t="s">
        <v>1240</v>
      </c>
      <c r="E445" s="8" t="s">
        <v>1239</v>
      </c>
      <c r="F445" s="9" t="s">
        <v>68</v>
      </c>
      <c r="G445" s="10" t="s">
        <v>165</v>
      </c>
      <c r="H445" s="10">
        <v>26</v>
      </c>
      <c r="I445" s="10">
        <v>26</v>
      </c>
      <c r="J445" s="10">
        <v>26</v>
      </c>
      <c r="K445" s="10">
        <v>26</v>
      </c>
    </row>
    <row r="446" spans="1:12" ht="65.25" customHeight="1" x14ac:dyDescent="0.25">
      <c r="A446" s="69"/>
      <c r="B446" s="76"/>
      <c r="C446" s="69"/>
      <c r="D446" s="28" t="s">
        <v>601</v>
      </c>
      <c r="E446" s="8" t="s">
        <v>609</v>
      </c>
      <c r="F446" s="9" t="s">
        <v>109</v>
      </c>
      <c r="G446" s="1">
        <v>5923.4196600000005</v>
      </c>
      <c r="H446" s="1">
        <v>2366</v>
      </c>
      <c r="I446" s="1">
        <v>2017.3400000000001</v>
      </c>
      <c r="J446" s="1">
        <v>1555.8400000000001</v>
      </c>
      <c r="K446" s="1">
        <v>1550.8999999999999</v>
      </c>
    </row>
    <row r="447" spans="1:12" ht="51.75" customHeight="1" x14ac:dyDescent="0.25">
      <c r="A447" s="69"/>
      <c r="B447" s="76"/>
      <c r="C447" s="69"/>
      <c r="D447" s="28" t="s">
        <v>600</v>
      </c>
      <c r="E447" s="8" t="s">
        <v>605</v>
      </c>
      <c r="F447" s="9" t="s">
        <v>68</v>
      </c>
      <c r="G447" s="10">
        <v>130</v>
      </c>
      <c r="H447" s="10" t="s">
        <v>165</v>
      </c>
      <c r="I447" s="10" t="s">
        <v>165</v>
      </c>
      <c r="J447" s="10" t="s">
        <v>165</v>
      </c>
      <c r="K447" s="10" t="s">
        <v>165</v>
      </c>
    </row>
    <row r="448" spans="1:12" ht="51.75" customHeight="1" x14ac:dyDescent="0.25">
      <c r="A448" s="69"/>
      <c r="B448" s="76"/>
      <c r="C448" s="69"/>
      <c r="D448" s="28" t="s">
        <v>1452</v>
      </c>
      <c r="E448" s="8" t="s">
        <v>1453</v>
      </c>
      <c r="F448" s="9" t="s">
        <v>68</v>
      </c>
      <c r="G448" s="10" t="s">
        <v>165</v>
      </c>
      <c r="H448" s="10">
        <v>54</v>
      </c>
      <c r="I448" s="10">
        <v>54</v>
      </c>
      <c r="J448" s="10">
        <v>54</v>
      </c>
      <c r="K448" s="10">
        <v>54</v>
      </c>
    </row>
    <row r="449" spans="1:11" ht="63" x14ac:dyDescent="0.25">
      <c r="A449" s="69"/>
      <c r="B449" s="76"/>
      <c r="C449" s="69"/>
      <c r="D449" s="28" t="s">
        <v>601</v>
      </c>
      <c r="E449" s="8" t="s">
        <v>609</v>
      </c>
      <c r="F449" s="9" t="s">
        <v>109</v>
      </c>
      <c r="G449" s="1">
        <v>9948.223</v>
      </c>
      <c r="H449" s="1">
        <v>4914</v>
      </c>
      <c r="I449" s="1">
        <v>4189.8600000000006</v>
      </c>
      <c r="J449" s="1">
        <v>3231.36</v>
      </c>
      <c r="K449" s="1">
        <v>3221.1</v>
      </c>
    </row>
    <row r="450" spans="1:11" ht="31.5" x14ac:dyDescent="0.25">
      <c r="A450" s="69"/>
      <c r="B450" s="76"/>
      <c r="C450" s="69"/>
      <c r="D450" s="28" t="s">
        <v>600</v>
      </c>
      <c r="E450" s="8" t="s">
        <v>606</v>
      </c>
      <c r="F450" s="55" t="s">
        <v>68</v>
      </c>
      <c r="G450" s="10">
        <v>8</v>
      </c>
      <c r="H450" s="10" t="s">
        <v>165</v>
      </c>
      <c r="I450" s="10" t="s">
        <v>165</v>
      </c>
      <c r="J450" s="10" t="s">
        <v>165</v>
      </c>
      <c r="K450" s="10" t="s">
        <v>165</v>
      </c>
    </row>
    <row r="451" spans="1:11" ht="31.5" x14ac:dyDescent="0.25">
      <c r="A451" s="69"/>
      <c r="B451" s="76"/>
      <c r="C451" s="69"/>
      <c r="D451" s="28" t="s">
        <v>1241</v>
      </c>
      <c r="E451" s="49" t="s">
        <v>1242</v>
      </c>
      <c r="F451" s="57"/>
      <c r="G451" s="10" t="s">
        <v>165</v>
      </c>
      <c r="H451" s="10">
        <v>16</v>
      </c>
      <c r="I451" s="10">
        <v>16</v>
      </c>
      <c r="J451" s="10">
        <v>16</v>
      </c>
      <c r="K451" s="10">
        <v>16</v>
      </c>
    </row>
    <row r="452" spans="1:11" ht="63" x14ac:dyDescent="0.25">
      <c r="A452" s="69"/>
      <c r="B452" s="76"/>
      <c r="C452" s="69"/>
      <c r="D452" s="28" t="s">
        <v>601</v>
      </c>
      <c r="E452" s="8" t="s">
        <v>609</v>
      </c>
      <c r="F452" s="9" t="s">
        <v>109</v>
      </c>
      <c r="G452" s="1">
        <v>607.53219000000001</v>
      </c>
      <c r="H452" s="1">
        <v>1456</v>
      </c>
      <c r="I452" s="1">
        <v>1241.44</v>
      </c>
      <c r="J452" s="1">
        <v>957.44</v>
      </c>
      <c r="K452" s="1">
        <v>954.4</v>
      </c>
    </row>
    <row r="453" spans="1:11" ht="63" x14ac:dyDescent="0.25">
      <c r="A453" s="69"/>
      <c r="B453" s="76"/>
      <c r="C453" s="69"/>
      <c r="D453" s="28" t="s">
        <v>600</v>
      </c>
      <c r="E453" s="8" t="s">
        <v>607</v>
      </c>
      <c r="F453" s="9" t="s">
        <v>68</v>
      </c>
      <c r="G453" s="10">
        <v>191</v>
      </c>
      <c r="H453" s="10" t="s">
        <v>165</v>
      </c>
      <c r="I453" s="10" t="s">
        <v>165</v>
      </c>
      <c r="J453" s="10" t="s">
        <v>165</v>
      </c>
      <c r="K453" s="10" t="s">
        <v>165</v>
      </c>
    </row>
    <row r="454" spans="1:11" ht="63" x14ac:dyDescent="0.25">
      <c r="A454" s="69"/>
      <c r="B454" s="76"/>
      <c r="C454" s="69"/>
      <c r="D454" s="28" t="s">
        <v>1454</v>
      </c>
      <c r="E454" s="49" t="s">
        <v>1455</v>
      </c>
      <c r="F454" s="9" t="s">
        <v>68</v>
      </c>
      <c r="G454" s="10" t="s">
        <v>165</v>
      </c>
      <c r="H454" s="10">
        <v>157</v>
      </c>
      <c r="I454" s="10">
        <v>157</v>
      </c>
      <c r="J454" s="10">
        <v>157</v>
      </c>
      <c r="K454" s="10">
        <v>157</v>
      </c>
    </row>
    <row r="455" spans="1:11" ht="63" x14ac:dyDescent="0.25">
      <c r="A455" s="69"/>
      <c r="B455" s="76"/>
      <c r="C455" s="69"/>
      <c r="D455" s="28" t="s">
        <v>601</v>
      </c>
      <c r="E455" s="8" t="s">
        <v>609</v>
      </c>
      <c r="F455" s="9" t="s">
        <v>109</v>
      </c>
      <c r="G455" s="1">
        <v>14960.28</v>
      </c>
      <c r="H455" s="1">
        <v>14287</v>
      </c>
      <c r="I455" s="1">
        <v>12181.630000000001</v>
      </c>
      <c r="J455" s="1">
        <v>9394.880000000001</v>
      </c>
      <c r="K455" s="1">
        <v>9365.0499999999993</v>
      </c>
    </row>
    <row r="456" spans="1:11" ht="47.25" x14ac:dyDescent="0.25">
      <c r="A456" s="69"/>
      <c r="B456" s="76"/>
      <c r="C456" s="69"/>
      <c r="D456" s="28" t="s">
        <v>600</v>
      </c>
      <c r="E456" s="8" t="s">
        <v>608</v>
      </c>
      <c r="F456" s="9" t="s">
        <v>68</v>
      </c>
      <c r="G456" s="10">
        <v>526</v>
      </c>
      <c r="H456" s="10" t="s">
        <v>165</v>
      </c>
      <c r="I456" s="10" t="s">
        <v>165</v>
      </c>
      <c r="J456" s="10" t="s">
        <v>165</v>
      </c>
      <c r="K456" s="10" t="s">
        <v>165</v>
      </c>
    </row>
    <row r="457" spans="1:11" ht="47.25" x14ac:dyDescent="0.25">
      <c r="A457" s="69"/>
      <c r="B457" s="76"/>
      <c r="C457" s="69"/>
      <c r="D457" s="28" t="s">
        <v>1244</v>
      </c>
      <c r="E457" s="8" t="s">
        <v>1243</v>
      </c>
      <c r="F457" s="9" t="s">
        <v>68</v>
      </c>
      <c r="G457" s="10" t="s">
        <v>165</v>
      </c>
      <c r="H457" s="10">
        <v>494</v>
      </c>
      <c r="I457" s="10">
        <v>494</v>
      </c>
      <c r="J457" s="10">
        <v>494</v>
      </c>
      <c r="K457" s="10">
        <v>494</v>
      </c>
    </row>
    <row r="458" spans="1:11" ht="63" x14ac:dyDescent="0.25">
      <c r="A458" s="69"/>
      <c r="B458" s="76"/>
      <c r="C458" s="69"/>
      <c r="D458" s="28" t="s">
        <v>601</v>
      </c>
      <c r="E458" s="8" t="s">
        <v>609</v>
      </c>
      <c r="F458" s="9" t="s">
        <v>109</v>
      </c>
      <c r="G458" s="1">
        <v>37400.22</v>
      </c>
      <c r="H458" s="1">
        <v>44954</v>
      </c>
      <c r="I458" s="1">
        <v>38329.46</v>
      </c>
      <c r="J458" s="1">
        <v>23560.960000000003</v>
      </c>
      <c r="K458" s="1">
        <v>29467.1</v>
      </c>
    </row>
    <row r="459" spans="1:11" ht="63" x14ac:dyDescent="0.25">
      <c r="A459" s="69"/>
      <c r="B459" s="76"/>
      <c r="C459" s="69"/>
      <c r="D459" s="28" t="s">
        <v>600</v>
      </c>
      <c r="E459" s="8" t="s">
        <v>610</v>
      </c>
      <c r="F459" s="9" t="s">
        <v>68</v>
      </c>
      <c r="G459" s="10">
        <v>177</v>
      </c>
      <c r="H459" s="10" t="s">
        <v>165</v>
      </c>
      <c r="I459" s="10" t="s">
        <v>165</v>
      </c>
      <c r="J459" s="10" t="s">
        <v>165</v>
      </c>
      <c r="K459" s="10" t="s">
        <v>165</v>
      </c>
    </row>
    <row r="460" spans="1:11" ht="63" x14ac:dyDescent="0.25">
      <c r="A460" s="69"/>
      <c r="B460" s="76"/>
      <c r="C460" s="69"/>
      <c r="D460" s="28" t="s">
        <v>1245</v>
      </c>
      <c r="E460" s="8" t="s">
        <v>1246</v>
      </c>
      <c r="F460" s="9" t="s">
        <v>68</v>
      </c>
      <c r="G460" s="10" t="s">
        <v>165</v>
      </c>
      <c r="H460" s="10">
        <v>148</v>
      </c>
      <c r="I460" s="10">
        <v>148</v>
      </c>
      <c r="J460" s="10">
        <v>148</v>
      </c>
      <c r="K460" s="10">
        <v>148</v>
      </c>
    </row>
    <row r="461" spans="1:11" ht="63" x14ac:dyDescent="0.25">
      <c r="A461" s="69"/>
      <c r="B461" s="76"/>
      <c r="C461" s="69"/>
      <c r="D461" s="28" t="s">
        <v>601</v>
      </c>
      <c r="E461" s="8" t="s">
        <v>609</v>
      </c>
      <c r="F461" s="9" t="s">
        <v>109</v>
      </c>
      <c r="G461" s="1">
        <v>12517.414000000001</v>
      </c>
      <c r="H461" s="1">
        <v>13468</v>
      </c>
      <c r="I461" s="1">
        <v>11483.32</v>
      </c>
      <c r="J461" s="1">
        <v>8856.32</v>
      </c>
      <c r="K461" s="1">
        <v>8828.1999999999989</v>
      </c>
    </row>
    <row r="462" spans="1:11" ht="47.25" x14ac:dyDescent="0.25">
      <c r="A462" s="69"/>
      <c r="B462" s="76"/>
      <c r="C462" s="69"/>
      <c r="D462" s="28" t="s">
        <v>600</v>
      </c>
      <c r="E462" s="8" t="s">
        <v>611</v>
      </c>
      <c r="F462" s="9" t="s">
        <v>68</v>
      </c>
      <c r="G462" s="10">
        <v>107</v>
      </c>
      <c r="H462" s="10" t="s">
        <v>165</v>
      </c>
      <c r="I462" s="10" t="s">
        <v>165</v>
      </c>
      <c r="J462" s="10" t="s">
        <v>165</v>
      </c>
      <c r="K462" s="10" t="s">
        <v>165</v>
      </c>
    </row>
    <row r="463" spans="1:11" ht="47.25" x14ac:dyDescent="0.25">
      <c r="A463" s="69"/>
      <c r="B463" s="76"/>
      <c r="C463" s="69"/>
      <c r="D463" s="28" t="s">
        <v>1247</v>
      </c>
      <c r="E463" s="8" t="s">
        <v>1248</v>
      </c>
      <c r="F463" s="9" t="s">
        <v>68</v>
      </c>
      <c r="G463" s="10" t="s">
        <v>165</v>
      </c>
      <c r="H463" s="10">
        <v>118</v>
      </c>
      <c r="I463" s="10">
        <v>118</v>
      </c>
      <c r="J463" s="10">
        <v>118</v>
      </c>
      <c r="K463" s="10">
        <v>118</v>
      </c>
    </row>
    <row r="464" spans="1:11" ht="63" x14ac:dyDescent="0.25">
      <c r="A464" s="69"/>
      <c r="B464" s="76"/>
      <c r="C464" s="69"/>
      <c r="D464" s="28" t="s">
        <v>601</v>
      </c>
      <c r="E464" s="8" t="s">
        <v>609</v>
      </c>
      <c r="F464" s="9" t="s">
        <v>109</v>
      </c>
      <c r="G464" s="1">
        <v>7201.5267600000006</v>
      </c>
      <c r="H464" s="1">
        <v>10738</v>
      </c>
      <c r="I464" s="1">
        <v>9155.6200000000008</v>
      </c>
      <c r="J464" s="1">
        <v>7061.1200000000008</v>
      </c>
      <c r="K464" s="1">
        <v>7038.7</v>
      </c>
    </row>
    <row r="465" spans="1:11" ht="78.75" x14ac:dyDescent="0.25">
      <c r="A465" s="69"/>
      <c r="B465" s="76"/>
      <c r="C465" s="69"/>
      <c r="D465" s="28" t="s">
        <v>600</v>
      </c>
      <c r="E465" s="8" t="s">
        <v>612</v>
      </c>
      <c r="F465" s="9" t="s">
        <v>68</v>
      </c>
      <c r="G465" s="10">
        <v>50</v>
      </c>
      <c r="H465" s="10" t="s">
        <v>165</v>
      </c>
      <c r="I465" s="10" t="s">
        <v>165</v>
      </c>
      <c r="J465" s="10" t="s">
        <v>165</v>
      </c>
      <c r="K465" s="10" t="s">
        <v>165</v>
      </c>
    </row>
    <row r="466" spans="1:11" ht="78.75" x14ac:dyDescent="0.25">
      <c r="A466" s="69"/>
      <c r="B466" s="76"/>
      <c r="C466" s="69"/>
      <c r="D466" s="28" t="s">
        <v>1249</v>
      </c>
      <c r="E466" s="8" t="s">
        <v>1250</v>
      </c>
      <c r="F466" s="9" t="s">
        <v>68</v>
      </c>
      <c r="G466" s="10" t="s">
        <v>165</v>
      </c>
      <c r="H466" s="10">
        <v>28</v>
      </c>
      <c r="I466" s="10">
        <v>28</v>
      </c>
      <c r="J466" s="10">
        <v>28</v>
      </c>
      <c r="K466" s="10">
        <v>28</v>
      </c>
    </row>
    <row r="467" spans="1:11" ht="63" x14ac:dyDescent="0.25">
      <c r="A467" s="69"/>
      <c r="B467" s="76"/>
      <c r="C467" s="69"/>
      <c r="D467" s="28" t="s">
        <v>601</v>
      </c>
      <c r="E467" s="8" t="s">
        <v>609</v>
      </c>
      <c r="F467" s="9" t="s">
        <v>109</v>
      </c>
      <c r="G467" s="1">
        <v>3872.9009999999998</v>
      </c>
      <c r="H467" s="1">
        <v>2548</v>
      </c>
      <c r="I467" s="1">
        <v>2172.52</v>
      </c>
      <c r="J467" s="1">
        <v>1675.52</v>
      </c>
      <c r="K467" s="1">
        <v>1670.2</v>
      </c>
    </row>
    <row r="468" spans="1:11" ht="31.5" x14ac:dyDescent="0.25">
      <c r="A468" s="69"/>
      <c r="B468" s="76"/>
      <c r="C468" s="69"/>
      <c r="D468" s="28" t="s">
        <v>600</v>
      </c>
      <c r="E468" s="8" t="s">
        <v>613</v>
      </c>
      <c r="F468" s="9" t="s">
        <v>68</v>
      </c>
      <c r="G468" s="10">
        <f>1049+210</f>
        <v>1259</v>
      </c>
      <c r="H468" s="10" t="s">
        <v>165</v>
      </c>
      <c r="I468" s="10" t="s">
        <v>165</v>
      </c>
      <c r="J468" s="10" t="s">
        <v>165</v>
      </c>
      <c r="K468" s="10" t="s">
        <v>165</v>
      </c>
    </row>
    <row r="469" spans="1:11" ht="31.5" x14ac:dyDescent="0.25">
      <c r="A469" s="69"/>
      <c r="B469" s="76"/>
      <c r="C469" s="69"/>
      <c r="D469" s="28" t="s">
        <v>1456</v>
      </c>
      <c r="E469" s="64" t="s">
        <v>1457</v>
      </c>
      <c r="F469" s="55" t="s">
        <v>68</v>
      </c>
      <c r="G469" s="10" t="s">
        <v>165</v>
      </c>
      <c r="H469" s="10">
        <f>710+210</f>
        <v>920</v>
      </c>
      <c r="I469" s="10">
        <f t="shared" ref="I469:K469" si="18">710+210</f>
        <v>920</v>
      </c>
      <c r="J469" s="10">
        <f t="shared" si="18"/>
        <v>920</v>
      </c>
      <c r="K469" s="10">
        <f t="shared" si="18"/>
        <v>920</v>
      </c>
    </row>
    <row r="470" spans="1:11" ht="31.5" x14ac:dyDescent="0.25">
      <c r="A470" s="69"/>
      <c r="B470" s="76"/>
      <c r="C470" s="69"/>
      <c r="D470" s="28" t="s">
        <v>1458</v>
      </c>
      <c r="E470" s="65"/>
      <c r="F470" s="57"/>
      <c r="G470" s="10" t="s">
        <v>165</v>
      </c>
      <c r="H470" s="10">
        <f>19+5</f>
        <v>24</v>
      </c>
      <c r="I470" s="10">
        <f t="shared" ref="I470:K470" si="19">19+5</f>
        <v>24</v>
      </c>
      <c r="J470" s="10">
        <f t="shared" si="19"/>
        <v>24</v>
      </c>
      <c r="K470" s="10">
        <f t="shared" si="19"/>
        <v>24</v>
      </c>
    </row>
    <row r="471" spans="1:11" ht="63" customHeight="1" x14ac:dyDescent="0.25">
      <c r="A471" s="69"/>
      <c r="B471" s="76"/>
      <c r="C471" s="69"/>
      <c r="D471" s="28" t="s">
        <v>705</v>
      </c>
      <c r="E471" s="64" t="s">
        <v>609</v>
      </c>
      <c r="F471" s="55" t="s">
        <v>109</v>
      </c>
      <c r="G471" s="1">
        <f>53228.1</f>
        <v>53228.1</v>
      </c>
      <c r="H471" s="1">
        <f>64610+1729</f>
        <v>66339</v>
      </c>
      <c r="I471" s="50">
        <f>55088.9+1474.21</f>
        <v>56563.11</v>
      </c>
      <c r="J471" s="1">
        <f>37486.4+1136.96</f>
        <v>38623.360000000001</v>
      </c>
      <c r="K471" s="1">
        <f>42351.5+1133.35</f>
        <v>43484.85</v>
      </c>
    </row>
    <row r="472" spans="1:11" ht="15.75" x14ac:dyDescent="0.25">
      <c r="A472" s="69"/>
      <c r="B472" s="76"/>
      <c r="C472" s="69"/>
      <c r="D472" s="28" t="s">
        <v>706</v>
      </c>
      <c r="E472" s="65"/>
      <c r="F472" s="57"/>
      <c r="G472" s="1">
        <v>9333.44</v>
      </c>
      <c r="H472" s="1">
        <f>18375+436.25</f>
        <v>18811.25</v>
      </c>
      <c r="I472" s="50">
        <f>14185.5+337.75</f>
        <v>14523.25</v>
      </c>
      <c r="J472" s="1">
        <f>11039.7+262.85</f>
        <v>11302.550000000001</v>
      </c>
      <c r="K472" s="1">
        <f>10815+257.5</f>
        <v>11072.5</v>
      </c>
    </row>
    <row r="473" spans="1:11" ht="63" x14ac:dyDescent="0.25">
      <c r="A473" s="69"/>
      <c r="B473" s="76"/>
      <c r="C473" s="69"/>
      <c r="D473" s="28" t="s">
        <v>600</v>
      </c>
      <c r="E473" s="8" t="s">
        <v>614</v>
      </c>
      <c r="F473" s="9" t="s">
        <v>68</v>
      </c>
      <c r="G473" s="11">
        <v>33</v>
      </c>
      <c r="H473" s="11" t="s">
        <v>165</v>
      </c>
      <c r="I473" s="11" t="s">
        <v>165</v>
      </c>
      <c r="J473" s="11" t="s">
        <v>165</v>
      </c>
      <c r="K473" s="11" t="s">
        <v>165</v>
      </c>
    </row>
    <row r="474" spans="1:11" ht="63" x14ac:dyDescent="0.25">
      <c r="A474" s="69"/>
      <c r="B474" s="76"/>
      <c r="C474" s="69"/>
      <c r="D474" s="28" t="s">
        <v>1458</v>
      </c>
      <c r="E474" s="8" t="s">
        <v>1459</v>
      </c>
      <c r="F474" s="9" t="s">
        <v>68</v>
      </c>
      <c r="G474" s="11" t="s">
        <v>165</v>
      </c>
      <c r="H474" s="11">
        <v>25</v>
      </c>
      <c r="I474" s="11">
        <v>25</v>
      </c>
      <c r="J474" s="11">
        <v>25</v>
      </c>
      <c r="K474" s="11">
        <v>25</v>
      </c>
    </row>
    <row r="475" spans="1:11" ht="63" x14ac:dyDescent="0.25">
      <c r="A475" s="69"/>
      <c r="B475" s="76"/>
      <c r="C475" s="69"/>
      <c r="D475" s="28" t="s">
        <v>601</v>
      </c>
      <c r="E475" s="8" t="s">
        <v>609</v>
      </c>
      <c r="F475" s="9" t="s">
        <v>109</v>
      </c>
      <c r="G475" s="1">
        <v>2590.42</v>
      </c>
      <c r="H475" s="1">
        <v>2275</v>
      </c>
      <c r="I475" s="1">
        <v>1939.75</v>
      </c>
      <c r="J475" s="1">
        <v>1496</v>
      </c>
      <c r="K475" s="1">
        <v>1491.25</v>
      </c>
    </row>
    <row r="476" spans="1:11" ht="47.25" x14ac:dyDescent="0.25">
      <c r="A476" s="69"/>
      <c r="B476" s="76"/>
      <c r="C476" s="69"/>
      <c r="D476" s="28" t="s">
        <v>600</v>
      </c>
      <c r="E476" s="8" t="s">
        <v>615</v>
      </c>
      <c r="F476" s="9" t="s">
        <v>68</v>
      </c>
      <c r="G476" s="10">
        <v>13</v>
      </c>
      <c r="H476" s="10" t="s">
        <v>165</v>
      </c>
      <c r="I476" s="10" t="s">
        <v>165</v>
      </c>
      <c r="J476" s="10" t="s">
        <v>165</v>
      </c>
      <c r="K476" s="10" t="s">
        <v>165</v>
      </c>
    </row>
    <row r="477" spans="1:11" ht="63" x14ac:dyDescent="0.25">
      <c r="A477" s="69"/>
      <c r="B477" s="76"/>
      <c r="C477" s="69"/>
      <c r="D477" s="28" t="s">
        <v>601</v>
      </c>
      <c r="E477" s="8" t="s">
        <v>609</v>
      </c>
      <c r="F477" s="9" t="s">
        <v>109</v>
      </c>
      <c r="G477" s="1">
        <v>792.68884000000253</v>
      </c>
      <c r="H477" s="1">
        <v>0</v>
      </c>
      <c r="I477" s="1">
        <v>0</v>
      </c>
      <c r="J477" s="1">
        <v>0</v>
      </c>
      <c r="K477" s="1">
        <v>0</v>
      </c>
    </row>
    <row r="478" spans="1:11" ht="47.25" x14ac:dyDescent="0.25">
      <c r="A478" s="69"/>
      <c r="B478" s="76"/>
      <c r="C478" s="69"/>
      <c r="D478" s="28" t="s">
        <v>600</v>
      </c>
      <c r="E478" s="8" t="s">
        <v>616</v>
      </c>
      <c r="F478" s="9" t="s">
        <v>68</v>
      </c>
      <c r="G478" s="10">
        <v>519</v>
      </c>
      <c r="H478" s="10" t="s">
        <v>165</v>
      </c>
      <c r="I478" s="10" t="s">
        <v>165</v>
      </c>
      <c r="J478" s="10" t="s">
        <v>165</v>
      </c>
      <c r="K478" s="10" t="s">
        <v>165</v>
      </c>
    </row>
    <row r="479" spans="1:11" ht="50.25" customHeight="1" x14ac:dyDescent="0.25">
      <c r="A479" s="69"/>
      <c r="B479" s="76"/>
      <c r="C479" s="69"/>
      <c r="D479" s="28" t="s">
        <v>1458</v>
      </c>
      <c r="E479" s="64" t="s">
        <v>1460</v>
      </c>
      <c r="F479" s="55" t="s">
        <v>68</v>
      </c>
      <c r="G479" s="10" t="s">
        <v>165</v>
      </c>
      <c r="H479" s="10">
        <v>424</v>
      </c>
      <c r="I479" s="10">
        <v>424</v>
      </c>
      <c r="J479" s="10">
        <v>424</v>
      </c>
      <c r="K479" s="10">
        <v>424</v>
      </c>
    </row>
    <row r="480" spans="1:11" ht="50.25" customHeight="1" x14ac:dyDescent="0.25">
      <c r="A480" s="69"/>
      <c r="B480" s="76"/>
      <c r="C480" s="69"/>
      <c r="D480" s="28" t="s">
        <v>1461</v>
      </c>
      <c r="E480" s="65"/>
      <c r="F480" s="57"/>
      <c r="G480" s="10" t="s">
        <v>165</v>
      </c>
      <c r="H480" s="10">
        <v>17</v>
      </c>
      <c r="I480" s="10">
        <v>17</v>
      </c>
      <c r="J480" s="10">
        <v>17</v>
      </c>
      <c r="K480" s="10">
        <v>17</v>
      </c>
    </row>
    <row r="481" spans="1:11" ht="63" x14ac:dyDescent="0.25">
      <c r="A481" s="69"/>
      <c r="B481" s="76"/>
      <c r="C481" s="69"/>
      <c r="D481" s="28" t="s">
        <v>601</v>
      </c>
      <c r="E481" s="8" t="s">
        <v>609</v>
      </c>
      <c r="F481" s="9" t="s">
        <v>109</v>
      </c>
      <c r="G481" s="1">
        <v>32113.560890000001</v>
      </c>
      <c r="H481" s="1">
        <f>38584+1547</f>
        <v>40131</v>
      </c>
      <c r="I481" s="1">
        <f>32898.16+1319.03</f>
        <v>34217.19</v>
      </c>
      <c r="J481" s="1">
        <f>25372.16+1017.28</f>
        <v>26389.439999999999</v>
      </c>
      <c r="K481" s="1">
        <f>25291.6+1014.05</f>
        <v>26305.649999999998</v>
      </c>
    </row>
    <row r="482" spans="1:11" ht="47.25" x14ac:dyDescent="0.25">
      <c r="A482" s="69"/>
      <c r="B482" s="76"/>
      <c r="C482" s="69"/>
      <c r="D482" s="28" t="s">
        <v>600</v>
      </c>
      <c r="E482" s="8" t="s">
        <v>617</v>
      </c>
      <c r="F482" s="9" t="s">
        <v>68</v>
      </c>
      <c r="G482" s="10">
        <f>438+19</f>
        <v>457</v>
      </c>
      <c r="H482" s="10" t="s">
        <v>165</v>
      </c>
      <c r="I482" s="10" t="s">
        <v>165</v>
      </c>
      <c r="J482" s="10" t="s">
        <v>165</v>
      </c>
      <c r="K482" s="10" t="s">
        <v>165</v>
      </c>
    </row>
    <row r="483" spans="1:11" ht="47.25" x14ac:dyDescent="0.25">
      <c r="A483" s="69"/>
      <c r="B483" s="76"/>
      <c r="C483" s="69"/>
      <c r="D483" s="28" t="s">
        <v>1251</v>
      </c>
      <c r="E483" s="23" t="s">
        <v>1252</v>
      </c>
      <c r="F483" s="9" t="s">
        <v>68</v>
      </c>
      <c r="G483" s="10" t="s">
        <v>165</v>
      </c>
      <c r="H483" s="10">
        <v>224</v>
      </c>
      <c r="I483" s="10">
        <v>224</v>
      </c>
      <c r="J483" s="10">
        <v>224</v>
      </c>
      <c r="K483" s="10">
        <v>224</v>
      </c>
    </row>
    <row r="484" spans="1:11" ht="50.25" customHeight="1" x14ac:dyDescent="0.25">
      <c r="A484" s="69"/>
      <c r="B484" s="76"/>
      <c r="C484" s="69"/>
      <c r="D484" s="28" t="s">
        <v>601</v>
      </c>
      <c r="E484" s="64" t="s">
        <v>609</v>
      </c>
      <c r="F484" s="55" t="s">
        <v>109</v>
      </c>
      <c r="G484" s="1">
        <v>30113.56</v>
      </c>
      <c r="H484" s="1">
        <v>20384</v>
      </c>
      <c r="I484" s="1">
        <v>17380.16</v>
      </c>
      <c r="J484" s="1">
        <v>13404.16</v>
      </c>
      <c r="K484" s="1">
        <v>13361.6</v>
      </c>
    </row>
    <row r="485" spans="1:11" ht="15.75" x14ac:dyDescent="0.25">
      <c r="A485" s="69"/>
      <c r="B485" s="76"/>
      <c r="C485" s="69"/>
      <c r="D485" s="28" t="s">
        <v>706</v>
      </c>
      <c r="E485" s="65"/>
      <c r="F485" s="57"/>
      <c r="G485" s="1">
        <v>865.64</v>
      </c>
      <c r="H485" s="1">
        <v>0</v>
      </c>
      <c r="I485" s="1">
        <v>0</v>
      </c>
      <c r="J485" s="1">
        <v>0</v>
      </c>
      <c r="K485" s="1">
        <v>0</v>
      </c>
    </row>
    <row r="486" spans="1:11" ht="63" x14ac:dyDescent="0.25">
      <c r="A486" s="69"/>
      <c r="B486" s="76"/>
      <c r="C486" s="69"/>
      <c r="D486" s="28" t="s">
        <v>600</v>
      </c>
      <c r="E486" s="8" t="s">
        <v>618</v>
      </c>
      <c r="F486" s="9" t="s">
        <v>68</v>
      </c>
      <c r="G486" s="10">
        <v>41</v>
      </c>
      <c r="H486" s="10" t="s">
        <v>165</v>
      </c>
      <c r="I486" s="10" t="s">
        <v>165</v>
      </c>
      <c r="J486" s="10" t="s">
        <v>165</v>
      </c>
      <c r="K486" s="10" t="s">
        <v>165</v>
      </c>
    </row>
    <row r="487" spans="1:11" ht="78.75" x14ac:dyDescent="0.25">
      <c r="A487" s="69"/>
      <c r="B487" s="76"/>
      <c r="C487" s="69"/>
      <c r="D487" s="28" t="s">
        <v>1253</v>
      </c>
      <c r="E487" s="8" t="s">
        <v>1254</v>
      </c>
      <c r="F487" s="9" t="s">
        <v>68</v>
      </c>
      <c r="G487" s="10" t="s">
        <v>165</v>
      </c>
      <c r="H487" s="10">
        <v>135</v>
      </c>
      <c r="I487" s="10">
        <v>135</v>
      </c>
      <c r="J487" s="10">
        <v>135</v>
      </c>
      <c r="K487" s="10">
        <v>135</v>
      </c>
    </row>
    <row r="488" spans="1:11" ht="63" x14ac:dyDescent="0.25">
      <c r="A488" s="69"/>
      <c r="B488" s="76"/>
      <c r="C488" s="69"/>
      <c r="D488" s="28" t="s">
        <v>601</v>
      </c>
      <c r="E488" s="8" t="s">
        <v>609</v>
      </c>
      <c r="F488" s="9" t="s">
        <v>109</v>
      </c>
      <c r="G488" s="1">
        <v>2650.13</v>
      </c>
      <c r="H488" s="1">
        <v>12285</v>
      </c>
      <c r="I488" s="1">
        <v>10474.65</v>
      </c>
      <c r="J488" s="1">
        <v>8078.4000000000005</v>
      </c>
      <c r="K488" s="1">
        <v>8052.75</v>
      </c>
    </row>
    <row r="489" spans="1:11" ht="63" customHeight="1" x14ac:dyDescent="0.25">
      <c r="A489" s="69"/>
      <c r="B489" s="76"/>
      <c r="C489" s="69"/>
      <c r="D489" s="28" t="s">
        <v>600</v>
      </c>
      <c r="E489" s="8" t="s">
        <v>619</v>
      </c>
      <c r="F489" s="9" t="s">
        <v>68</v>
      </c>
      <c r="G489" s="10">
        <v>130</v>
      </c>
      <c r="H489" s="10" t="s">
        <v>165</v>
      </c>
      <c r="I489" s="10" t="s">
        <v>165</v>
      </c>
      <c r="J489" s="10" t="s">
        <v>165</v>
      </c>
      <c r="K489" s="10" t="s">
        <v>165</v>
      </c>
    </row>
    <row r="490" spans="1:11" ht="78.75" customHeight="1" x14ac:dyDescent="0.25">
      <c r="A490" s="69"/>
      <c r="B490" s="76"/>
      <c r="C490" s="69"/>
      <c r="D490" s="28" t="s">
        <v>1255</v>
      </c>
      <c r="E490" s="8" t="s">
        <v>1256</v>
      </c>
      <c r="F490" s="9" t="s">
        <v>68</v>
      </c>
      <c r="G490" s="10" t="s">
        <v>165</v>
      </c>
      <c r="H490" s="10">
        <v>134</v>
      </c>
      <c r="I490" s="10">
        <v>134</v>
      </c>
      <c r="J490" s="10">
        <v>134</v>
      </c>
      <c r="K490" s="10">
        <v>134</v>
      </c>
    </row>
    <row r="491" spans="1:11" ht="63" x14ac:dyDescent="0.25">
      <c r="A491" s="69"/>
      <c r="B491" s="76"/>
      <c r="C491" s="69"/>
      <c r="D491" s="28" t="s">
        <v>601</v>
      </c>
      <c r="E491" s="8" t="s">
        <v>609</v>
      </c>
      <c r="F491" s="9" t="s">
        <v>109</v>
      </c>
      <c r="G491" s="1">
        <v>10929.7</v>
      </c>
      <c r="H491" s="1">
        <v>12194</v>
      </c>
      <c r="I491" s="1">
        <v>10397.060000000001</v>
      </c>
      <c r="J491" s="1">
        <v>8018.56</v>
      </c>
      <c r="K491" s="1">
        <v>7993.0999999999995</v>
      </c>
    </row>
    <row r="492" spans="1:11" ht="31.5" x14ac:dyDescent="0.25">
      <c r="A492" s="69"/>
      <c r="B492" s="76"/>
      <c r="C492" s="69"/>
      <c r="D492" s="28" t="s">
        <v>600</v>
      </c>
      <c r="E492" s="8" t="s">
        <v>620</v>
      </c>
      <c r="F492" s="9" t="s">
        <v>68</v>
      </c>
      <c r="G492" s="10">
        <v>76</v>
      </c>
      <c r="H492" s="10" t="s">
        <v>165</v>
      </c>
      <c r="I492" s="10" t="s">
        <v>165</v>
      </c>
      <c r="J492" s="10" t="s">
        <v>165</v>
      </c>
      <c r="K492" s="10" t="s">
        <v>165</v>
      </c>
    </row>
    <row r="493" spans="1:11" ht="31.5" x14ac:dyDescent="0.25">
      <c r="A493" s="69"/>
      <c r="B493" s="76"/>
      <c r="C493" s="69"/>
      <c r="D493" s="28" t="s">
        <v>1257</v>
      </c>
      <c r="E493" s="8" t="s">
        <v>1258</v>
      </c>
      <c r="F493" s="9" t="s">
        <v>68</v>
      </c>
      <c r="G493" s="10" t="s">
        <v>165</v>
      </c>
      <c r="H493" s="10">
        <v>80</v>
      </c>
      <c r="I493" s="10">
        <v>80</v>
      </c>
      <c r="J493" s="10">
        <v>80</v>
      </c>
      <c r="K493" s="10">
        <v>80</v>
      </c>
    </row>
    <row r="494" spans="1:11" ht="63" x14ac:dyDescent="0.25">
      <c r="A494" s="69"/>
      <c r="B494" s="76"/>
      <c r="C494" s="69"/>
      <c r="D494" s="28" t="s">
        <v>601</v>
      </c>
      <c r="E494" s="8" t="s">
        <v>609</v>
      </c>
      <c r="F494" s="9" t="s">
        <v>109</v>
      </c>
      <c r="G494" s="1">
        <v>6033.2</v>
      </c>
      <c r="H494" s="1">
        <v>7280</v>
      </c>
      <c r="I494" s="1">
        <v>6207.2000000000007</v>
      </c>
      <c r="J494" s="1">
        <v>4787.2000000000007</v>
      </c>
      <c r="K494" s="1">
        <v>4772</v>
      </c>
    </row>
    <row r="495" spans="1:11" ht="31.5" x14ac:dyDescent="0.25">
      <c r="A495" s="69"/>
      <c r="B495" s="76"/>
      <c r="C495" s="69"/>
      <c r="D495" s="28" t="s">
        <v>600</v>
      </c>
      <c r="E495" s="8" t="s">
        <v>621</v>
      </c>
      <c r="F495" s="9" t="s">
        <v>68</v>
      </c>
      <c r="G495" s="10">
        <v>9</v>
      </c>
      <c r="H495" s="10" t="s">
        <v>165</v>
      </c>
      <c r="I495" s="10" t="s">
        <v>165</v>
      </c>
      <c r="J495" s="10" t="s">
        <v>165</v>
      </c>
      <c r="K495" s="10" t="s">
        <v>165</v>
      </c>
    </row>
    <row r="496" spans="1:11" ht="31.5" x14ac:dyDescent="0.25">
      <c r="A496" s="69"/>
      <c r="B496" s="76"/>
      <c r="C496" s="69"/>
      <c r="D496" s="28" t="s">
        <v>1259</v>
      </c>
      <c r="E496" s="8" t="s">
        <v>1260</v>
      </c>
      <c r="F496" s="9" t="s">
        <v>68</v>
      </c>
      <c r="G496" s="10" t="s">
        <v>165</v>
      </c>
      <c r="H496" s="10">
        <v>34</v>
      </c>
      <c r="I496" s="10">
        <v>34</v>
      </c>
      <c r="J496" s="10">
        <v>34</v>
      </c>
      <c r="K496" s="10">
        <v>34</v>
      </c>
    </row>
    <row r="497" spans="1:11" ht="63" x14ac:dyDescent="0.25">
      <c r="A497" s="69"/>
      <c r="B497" s="76"/>
      <c r="C497" s="69"/>
      <c r="D497" s="28" t="s">
        <v>601</v>
      </c>
      <c r="E497" s="8" t="s">
        <v>609</v>
      </c>
      <c r="F497" s="9" t="s">
        <v>109</v>
      </c>
      <c r="G497" s="1">
        <v>801.21</v>
      </c>
      <c r="H497" s="1">
        <v>3094</v>
      </c>
      <c r="I497" s="1">
        <v>2638.06</v>
      </c>
      <c r="J497" s="1">
        <v>2034.5600000000002</v>
      </c>
      <c r="K497" s="1">
        <v>2028.1</v>
      </c>
    </row>
    <row r="498" spans="1:11" ht="78.75" x14ac:dyDescent="0.25">
      <c r="A498" s="69"/>
      <c r="B498" s="76"/>
      <c r="C498" s="69"/>
      <c r="D498" s="28" t="s">
        <v>600</v>
      </c>
      <c r="E498" s="8" t="s">
        <v>622</v>
      </c>
      <c r="F498" s="9" t="s">
        <v>68</v>
      </c>
      <c r="G498" s="10">
        <v>338</v>
      </c>
      <c r="H498" s="10" t="s">
        <v>165</v>
      </c>
      <c r="I498" s="10" t="s">
        <v>165</v>
      </c>
      <c r="J498" s="10" t="s">
        <v>165</v>
      </c>
      <c r="K498" s="10" t="s">
        <v>165</v>
      </c>
    </row>
    <row r="499" spans="1:11" ht="78.75" x14ac:dyDescent="0.25">
      <c r="A499" s="69"/>
      <c r="B499" s="76"/>
      <c r="C499" s="69"/>
      <c r="D499" s="28" t="s">
        <v>1261</v>
      </c>
      <c r="E499" s="8" t="s">
        <v>1262</v>
      </c>
      <c r="F499" s="9" t="s">
        <v>68</v>
      </c>
      <c r="G499" s="10" t="s">
        <v>165</v>
      </c>
      <c r="H499" s="10">
        <v>300</v>
      </c>
      <c r="I499" s="10">
        <v>300</v>
      </c>
      <c r="J499" s="10">
        <v>300</v>
      </c>
      <c r="K499" s="10">
        <v>300</v>
      </c>
    </row>
    <row r="500" spans="1:11" ht="63" x14ac:dyDescent="0.25">
      <c r="A500" s="69"/>
      <c r="B500" s="76"/>
      <c r="C500" s="69"/>
      <c r="D500" s="28" t="s">
        <v>601</v>
      </c>
      <c r="E500" s="8" t="s">
        <v>609</v>
      </c>
      <c r="F500" s="9" t="s">
        <v>109</v>
      </c>
      <c r="G500" s="1">
        <v>21536.43</v>
      </c>
      <c r="H500" s="1">
        <v>27300</v>
      </c>
      <c r="I500" s="1">
        <v>23277</v>
      </c>
      <c r="J500" s="1">
        <v>17952</v>
      </c>
      <c r="K500" s="1">
        <v>17895</v>
      </c>
    </row>
    <row r="501" spans="1:11" ht="47.25" x14ac:dyDescent="0.25">
      <c r="A501" s="69"/>
      <c r="B501" s="76"/>
      <c r="C501" s="69"/>
      <c r="D501" s="28" t="s">
        <v>600</v>
      </c>
      <c r="E501" s="8" t="s">
        <v>623</v>
      </c>
      <c r="F501" s="9" t="s">
        <v>68</v>
      </c>
      <c r="G501" s="10">
        <v>16</v>
      </c>
      <c r="H501" s="10" t="s">
        <v>165</v>
      </c>
      <c r="I501" s="10" t="s">
        <v>165</v>
      </c>
      <c r="J501" s="10" t="s">
        <v>165</v>
      </c>
      <c r="K501" s="10" t="s">
        <v>165</v>
      </c>
    </row>
    <row r="502" spans="1:11" ht="63" x14ac:dyDescent="0.25">
      <c r="A502" s="69"/>
      <c r="B502" s="76"/>
      <c r="C502" s="69"/>
      <c r="D502" s="28" t="s">
        <v>1263</v>
      </c>
      <c r="E502" s="8" t="s">
        <v>1264</v>
      </c>
      <c r="F502" s="9" t="s">
        <v>68</v>
      </c>
      <c r="G502" s="10" t="s">
        <v>165</v>
      </c>
      <c r="H502" s="10">
        <v>8</v>
      </c>
      <c r="I502" s="10">
        <v>8</v>
      </c>
      <c r="J502" s="10">
        <v>8</v>
      </c>
      <c r="K502" s="10">
        <v>8</v>
      </c>
    </row>
    <row r="503" spans="1:11" ht="63" x14ac:dyDescent="0.25">
      <c r="A503" s="69"/>
      <c r="B503" s="76"/>
      <c r="C503" s="69"/>
      <c r="D503" s="28" t="s">
        <v>601</v>
      </c>
      <c r="E503" s="8" t="s">
        <v>609</v>
      </c>
      <c r="F503" s="9" t="s">
        <v>109</v>
      </c>
      <c r="G503" s="1">
        <v>1424.46</v>
      </c>
      <c r="H503" s="1">
        <v>728</v>
      </c>
      <c r="I503" s="1">
        <v>620.72</v>
      </c>
      <c r="J503" s="1">
        <v>478.72</v>
      </c>
      <c r="K503" s="1">
        <v>477.2</v>
      </c>
    </row>
    <row r="504" spans="1:11" ht="31.5" x14ac:dyDescent="0.25">
      <c r="A504" s="69"/>
      <c r="B504" s="76"/>
      <c r="C504" s="69"/>
      <c r="D504" s="28" t="s">
        <v>600</v>
      </c>
      <c r="E504" s="8" t="s">
        <v>624</v>
      </c>
      <c r="F504" s="9" t="s">
        <v>68</v>
      </c>
      <c r="G504" s="10">
        <v>542</v>
      </c>
      <c r="H504" s="10" t="s">
        <v>165</v>
      </c>
      <c r="I504" s="10" t="s">
        <v>165</v>
      </c>
      <c r="J504" s="10" t="s">
        <v>165</v>
      </c>
      <c r="K504" s="10" t="s">
        <v>165</v>
      </c>
    </row>
    <row r="505" spans="1:11" ht="31.5" x14ac:dyDescent="0.25">
      <c r="A505" s="69"/>
      <c r="B505" s="76"/>
      <c r="C505" s="69"/>
      <c r="D505" s="28" t="s">
        <v>1265</v>
      </c>
      <c r="E505" s="8" t="s">
        <v>1266</v>
      </c>
      <c r="F505" s="9" t="s">
        <v>68</v>
      </c>
      <c r="G505" s="10" t="s">
        <v>165</v>
      </c>
      <c r="H505" s="10">
        <v>521</v>
      </c>
      <c r="I505" s="10">
        <v>521</v>
      </c>
      <c r="J505" s="10">
        <v>521</v>
      </c>
      <c r="K505" s="10">
        <v>521</v>
      </c>
    </row>
    <row r="506" spans="1:11" ht="63" x14ac:dyDescent="0.25">
      <c r="A506" s="69"/>
      <c r="B506" s="76"/>
      <c r="C506" s="69"/>
      <c r="D506" s="28" t="s">
        <v>601</v>
      </c>
      <c r="E506" s="8" t="s">
        <v>609</v>
      </c>
      <c r="F506" s="9" t="s">
        <v>109</v>
      </c>
      <c r="G506" s="1">
        <v>31306.050000000003</v>
      </c>
      <c r="H506" s="1">
        <v>47411</v>
      </c>
      <c r="I506" s="1">
        <v>37105.729999999996</v>
      </c>
      <c r="J506" s="1">
        <v>28176.640000000003</v>
      </c>
      <c r="K506" s="1">
        <v>31077.649999999998</v>
      </c>
    </row>
    <row r="507" spans="1:11" ht="63" x14ac:dyDescent="0.25">
      <c r="A507" s="69"/>
      <c r="B507" s="76"/>
      <c r="C507" s="69"/>
      <c r="D507" s="28" t="s">
        <v>600</v>
      </c>
      <c r="E507" s="8" t="s">
        <v>625</v>
      </c>
      <c r="F507" s="9" t="s">
        <v>68</v>
      </c>
      <c r="G507" s="10">
        <v>24</v>
      </c>
      <c r="H507" s="10" t="s">
        <v>165</v>
      </c>
      <c r="I507" s="10" t="s">
        <v>165</v>
      </c>
      <c r="J507" s="10" t="s">
        <v>165</v>
      </c>
      <c r="K507" s="10" t="s">
        <v>165</v>
      </c>
    </row>
    <row r="508" spans="1:11" ht="52.5" customHeight="1" x14ac:dyDescent="0.25">
      <c r="A508" s="69"/>
      <c r="B508" s="76"/>
      <c r="C508" s="69"/>
      <c r="D508" s="28" t="s">
        <v>1267</v>
      </c>
      <c r="E508" s="64" t="s">
        <v>1268</v>
      </c>
      <c r="F508" s="55" t="s">
        <v>68</v>
      </c>
      <c r="G508" s="10" t="s">
        <v>165</v>
      </c>
      <c r="H508" s="10">
        <v>8</v>
      </c>
      <c r="I508" s="10">
        <v>8</v>
      </c>
      <c r="J508" s="10">
        <v>8</v>
      </c>
      <c r="K508" s="10">
        <v>8</v>
      </c>
    </row>
    <row r="509" spans="1:11" ht="31.5" x14ac:dyDescent="0.25">
      <c r="A509" s="69"/>
      <c r="B509" s="76"/>
      <c r="C509" s="69"/>
      <c r="D509" s="28" t="s">
        <v>1269</v>
      </c>
      <c r="E509" s="65"/>
      <c r="F509" s="57"/>
      <c r="G509" s="10" t="s">
        <v>165</v>
      </c>
      <c r="H509" s="10">
        <v>18</v>
      </c>
      <c r="I509" s="10">
        <v>18</v>
      </c>
      <c r="J509" s="10">
        <v>18</v>
      </c>
      <c r="K509" s="10">
        <v>18</v>
      </c>
    </row>
    <row r="510" spans="1:11" ht="63" x14ac:dyDescent="0.25">
      <c r="A510" s="69"/>
      <c r="B510" s="76"/>
      <c r="C510" s="69"/>
      <c r="D510" s="28" t="s">
        <v>601</v>
      </c>
      <c r="E510" s="8" t="s">
        <v>609</v>
      </c>
      <c r="F510" s="9" t="s">
        <v>109</v>
      </c>
      <c r="G510" s="1">
        <v>2047.58</v>
      </c>
      <c r="H510" s="1">
        <f>728+1638</f>
        <v>2366</v>
      </c>
      <c r="I510" s="1">
        <f>620.72+1396.62</f>
        <v>2017.34</v>
      </c>
      <c r="J510" s="1">
        <f>478.72+1077.12</f>
        <v>1555.84</v>
      </c>
      <c r="K510" s="1">
        <f>477.2+1073.7</f>
        <v>1550.9</v>
      </c>
    </row>
    <row r="511" spans="1:11" ht="78.75" x14ac:dyDescent="0.25">
      <c r="A511" s="69"/>
      <c r="B511" s="76"/>
      <c r="C511" s="69"/>
      <c r="D511" s="28" t="s">
        <v>600</v>
      </c>
      <c r="E511" s="8" t="s">
        <v>626</v>
      </c>
      <c r="F511" s="9" t="s">
        <v>68</v>
      </c>
      <c r="G511" s="10">
        <v>95</v>
      </c>
      <c r="H511" s="10" t="s">
        <v>165</v>
      </c>
      <c r="I511" s="10" t="s">
        <v>165</v>
      </c>
      <c r="J511" s="10" t="s">
        <v>165</v>
      </c>
      <c r="K511" s="10" t="s">
        <v>165</v>
      </c>
    </row>
    <row r="512" spans="1:11" ht="78.75" x14ac:dyDescent="0.25">
      <c r="A512" s="69"/>
      <c r="B512" s="76"/>
      <c r="C512" s="69"/>
      <c r="D512" s="28" t="s">
        <v>1272</v>
      </c>
      <c r="E512" s="8" t="s">
        <v>1273</v>
      </c>
      <c r="F512" s="9" t="s">
        <v>68</v>
      </c>
      <c r="G512" s="10" t="s">
        <v>165</v>
      </c>
      <c r="H512" s="10">
        <v>94</v>
      </c>
      <c r="I512" s="10">
        <v>94</v>
      </c>
      <c r="J512" s="10">
        <v>94</v>
      </c>
      <c r="K512" s="10">
        <v>94</v>
      </c>
    </row>
    <row r="513" spans="1:11" ht="63" x14ac:dyDescent="0.25">
      <c r="A513" s="69"/>
      <c r="B513" s="76"/>
      <c r="C513" s="69"/>
      <c r="D513" s="28" t="s">
        <v>601</v>
      </c>
      <c r="E513" s="8" t="s">
        <v>609</v>
      </c>
      <c r="F513" s="9" t="s">
        <v>109</v>
      </c>
      <c r="G513" s="1">
        <v>8635.6200000000008</v>
      </c>
      <c r="H513" s="1">
        <v>8554</v>
      </c>
      <c r="I513" s="1">
        <v>6293.46</v>
      </c>
      <c r="J513" s="1">
        <v>5624.96</v>
      </c>
      <c r="K513" s="1">
        <v>5607.0999999999995</v>
      </c>
    </row>
    <row r="514" spans="1:11" ht="63" x14ac:dyDescent="0.25">
      <c r="A514" s="69"/>
      <c r="B514" s="76"/>
      <c r="C514" s="69"/>
      <c r="D514" s="28" t="s">
        <v>600</v>
      </c>
      <c r="E514" s="8" t="s">
        <v>627</v>
      </c>
      <c r="F514" s="9" t="s">
        <v>68</v>
      </c>
      <c r="G514" s="10">
        <v>68</v>
      </c>
      <c r="H514" s="10" t="s">
        <v>165</v>
      </c>
      <c r="I514" s="10" t="s">
        <v>165</v>
      </c>
      <c r="J514" s="10" t="s">
        <v>165</v>
      </c>
      <c r="K514" s="10" t="s">
        <v>165</v>
      </c>
    </row>
    <row r="515" spans="1:11" ht="63" x14ac:dyDescent="0.25">
      <c r="A515" s="69"/>
      <c r="B515" s="76"/>
      <c r="C515" s="69"/>
      <c r="D515" s="28" t="s">
        <v>1282</v>
      </c>
      <c r="E515" s="8" t="s">
        <v>1283</v>
      </c>
      <c r="F515" s="9" t="s">
        <v>68</v>
      </c>
      <c r="G515" s="10" t="s">
        <v>165</v>
      </c>
      <c r="H515" s="10">
        <v>65</v>
      </c>
      <c r="I515" s="10">
        <v>65</v>
      </c>
      <c r="J515" s="10">
        <v>65</v>
      </c>
      <c r="K515" s="10">
        <v>65</v>
      </c>
    </row>
    <row r="516" spans="1:11" ht="63" x14ac:dyDescent="0.25">
      <c r="A516" s="69"/>
      <c r="B516" s="76"/>
      <c r="C516" s="69"/>
      <c r="D516" s="28" t="s">
        <v>601</v>
      </c>
      <c r="E516" s="8" t="s">
        <v>609</v>
      </c>
      <c r="F516" s="9" t="s">
        <v>109</v>
      </c>
      <c r="G516" s="1">
        <v>6053.77</v>
      </c>
      <c r="H516" s="1">
        <v>5915</v>
      </c>
      <c r="I516" s="1">
        <v>5043.3500000000004</v>
      </c>
      <c r="J516" s="1">
        <v>3889.6000000000004</v>
      </c>
      <c r="K516" s="1">
        <v>3877.25</v>
      </c>
    </row>
    <row r="517" spans="1:11" ht="47.25" x14ac:dyDescent="0.25">
      <c r="A517" s="69"/>
      <c r="B517" s="76"/>
      <c r="C517" s="69"/>
      <c r="D517" s="28" t="s">
        <v>600</v>
      </c>
      <c r="E517" s="8" t="s">
        <v>628</v>
      </c>
      <c r="F517" s="9" t="s">
        <v>68</v>
      </c>
      <c r="G517" s="10">
        <v>34</v>
      </c>
      <c r="H517" s="10" t="s">
        <v>165</v>
      </c>
      <c r="I517" s="10" t="s">
        <v>165</v>
      </c>
      <c r="J517" s="10" t="s">
        <v>165</v>
      </c>
      <c r="K517" s="10" t="s">
        <v>165</v>
      </c>
    </row>
    <row r="518" spans="1:11" ht="63" x14ac:dyDescent="0.25">
      <c r="A518" s="69"/>
      <c r="B518" s="76"/>
      <c r="C518" s="69"/>
      <c r="D518" s="28" t="s">
        <v>1284</v>
      </c>
      <c r="E518" s="8" t="s">
        <v>1285</v>
      </c>
      <c r="F518" s="9" t="s">
        <v>68</v>
      </c>
      <c r="G518" s="10" t="s">
        <v>165</v>
      </c>
      <c r="H518" s="10">
        <v>36</v>
      </c>
      <c r="I518" s="10">
        <v>36</v>
      </c>
      <c r="J518" s="10">
        <v>36</v>
      </c>
      <c r="K518" s="10">
        <v>36</v>
      </c>
    </row>
    <row r="519" spans="1:11" ht="63" x14ac:dyDescent="0.25">
      <c r="A519" s="69"/>
      <c r="B519" s="76"/>
      <c r="C519" s="69"/>
      <c r="D519" s="28" t="s">
        <v>601</v>
      </c>
      <c r="E519" s="8" t="s">
        <v>609</v>
      </c>
      <c r="F519" s="9" t="s">
        <v>109</v>
      </c>
      <c r="G519" s="1">
        <v>3027.01</v>
      </c>
      <c r="H519" s="1">
        <v>3276</v>
      </c>
      <c r="I519" s="1">
        <v>2793.2400000000002</v>
      </c>
      <c r="J519" s="1">
        <v>2154.2400000000002</v>
      </c>
      <c r="K519" s="1">
        <v>2147.4</v>
      </c>
    </row>
    <row r="520" spans="1:11" ht="31.5" x14ac:dyDescent="0.25">
      <c r="A520" s="69"/>
      <c r="B520" s="76"/>
      <c r="C520" s="69"/>
      <c r="D520" s="28" t="s">
        <v>600</v>
      </c>
      <c r="E520" s="8" t="s">
        <v>629</v>
      </c>
      <c r="F520" s="9" t="s">
        <v>68</v>
      </c>
      <c r="G520" s="10">
        <v>8</v>
      </c>
      <c r="H520" s="10" t="s">
        <v>165</v>
      </c>
      <c r="I520" s="10" t="s">
        <v>165</v>
      </c>
      <c r="J520" s="10" t="s">
        <v>165</v>
      </c>
      <c r="K520" s="10" t="s">
        <v>165</v>
      </c>
    </row>
    <row r="521" spans="1:11" ht="47.25" x14ac:dyDescent="0.25">
      <c r="A521" s="69"/>
      <c r="B521" s="76"/>
      <c r="C521" s="69"/>
      <c r="D521" s="28" t="s">
        <v>1286</v>
      </c>
      <c r="E521" s="8" t="s">
        <v>1287</v>
      </c>
      <c r="F521" s="9" t="s">
        <v>68</v>
      </c>
      <c r="G521" s="10" t="s">
        <v>165</v>
      </c>
      <c r="H521" s="10">
        <f>33+8</f>
        <v>41</v>
      </c>
      <c r="I521" s="10">
        <f t="shared" ref="I521:K521" si="20">33+8</f>
        <v>41</v>
      </c>
      <c r="J521" s="10">
        <f t="shared" si="20"/>
        <v>41</v>
      </c>
      <c r="K521" s="10">
        <f t="shared" si="20"/>
        <v>41</v>
      </c>
    </row>
    <row r="522" spans="1:11" ht="63" x14ac:dyDescent="0.25">
      <c r="A522" s="69"/>
      <c r="B522" s="76"/>
      <c r="C522" s="69"/>
      <c r="D522" s="28" t="s">
        <v>601</v>
      </c>
      <c r="E522" s="8" t="s">
        <v>609</v>
      </c>
      <c r="F522" s="9" t="s">
        <v>109</v>
      </c>
      <c r="G522" s="1">
        <v>712.23</v>
      </c>
      <c r="H522" s="1">
        <f>3003+728</f>
        <v>3731</v>
      </c>
      <c r="I522" s="1">
        <f>2560.47+620.72</f>
        <v>3181.1899999999996</v>
      </c>
      <c r="J522" s="1">
        <f>1974.72+478.72</f>
        <v>2453.44</v>
      </c>
      <c r="K522" s="1">
        <f>1968.45+477.2</f>
        <v>2445.65</v>
      </c>
    </row>
    <row r="523" spans="1:11" ht="31.5" customHeight="1" x14ac:dyDescent="0.25">
      <c r="A523" s="69"/>
      <c r="B523" s="76"/>
      <c r="C523" s="69"/>
      <c r="D523" s="28" t="s">
        <v>600</v>
      </c>
      <c r="E523" s="8" t="s">
        <v>630</v>
      </c>
      <c r="F523" s="9" t="s">
        <v>68</v>
      </c>
      <c r="G523" s="10">
        <v>18</v>
      </c>
      <c r="H523" s="10" t="s">
        <v>165</v>
      </c>
      <c r="I523" s="10" t="s">
        <v>165</v>
      </c>
      <c r="J523" s="10" t="s">
        <v>165</v>
      </c>
      <c r="K523" s="10" t="s">
        <v>165</v>
      </c>
    </row>
    <row r="524" spans="1:11" ht="51.75" customHeight="1" x14ac:dyDescent="0.25">
      <c r="A524" s="69"/>
      <c r="B524" s="76"/>
      <c r="C524" s="69"/>
      <c r="D524" s="28" t="s">
        <v>1288</v>
      </c>
      <c r="E524" s="8" t="s">
        <v>1289</v>
      </c>
      <c r="F524" s="9" t="s">
        <v>68</v>
      </c>
      <c r="G524" s="10" t="s">
        <v>165</v>
      </c>
      <c r="H524" s="10">
        <v>11</v>
      </c>
      <c r="I524" s="10">
        <v>11</v>
      </c>
      <c r="J524" s="10">
        <v>11</v>
      </c>
      <c r="K524" s="10">
        <v>11</v>
      </c>
    </row>
    <row r="525" spans="1:11" ht="63" x14ac:dyDescent="0.25">
      <c r="A525" s="69"/>
      <c r="B525" s="76"/>
      <c r="C525" s="69"/>
      <c r="D525" s="28" t="s">
        <v>601</v>
      </c>
      <c r="E525" s="8" t="s">
        <v>609</v>
      </c>
      <c r="F525" s="9" t="s">
        <v>109</v>
      </c>
      <c r="G525" s="1">
        <v>1602.55</v>
      </c>
      <c r="H525" s="1">
        <v>1001</v>
      </c>
      <c r="I525" s="1">
        <v>853.49</v>
      </c>
      <c r="J525" s="1">
        <v>658.24</v>
      </c>
      <c r="K525" s="1">
        <v>656.15</v>
      </c>
    </row>
    <row r="526" spans="1:11" ht="47.25" x14ac:dyDescent="0.25">
      <c r="A526" s="69"/>
      <c r="B526" s="76"/>
      <c r="C526" s="69"/>
      <c r="D526" s="28" t="s">
        <v>600</v>
      </c>
      <c r="E526" s="8" t="s">
        <v>631</v>
      </c>
      <c r="F526" s="9" t="s">
        <v>68</v>
      </c>
      <c r="G526" s="10">
        <v>57</v>
      </c>
      <c r="H526" s="10" t="s">
        <v>165</v>
      </c>
      <c r="I526" s="10" t="s">
        <v>165</v>
      </c>
      <c r="J526" s="10" t="s">
        <v>165</v>
      </c>
      <c r="K526" s="10" t="s">
        <v>165</v>
      </c>
    </row>
    <row r="527" spans="1:11" ht="47.25" x14ac:dyDescent="0.25">
      <c r="A527" s="69"/>
      <c r="B527" s="76"/>
      <c r="C527" s="69"/>
      <c r="D527" s="28" t="s">
        <v>1342</v>
      </c>
      <c r="E527" s="8" t="s">
        <v>1343</v>
      </c>
      <c r="F527" s="9" t="s">
        <v>68</v>
      </c>
      <c r="G527" s="10" t="s">
        <v>165</v>
      </c>
      <c r="H527" s="10">
        <v>56</v>
      </c>
      <c r="I527" s="10">
        <v>56</v>
      </c>
      <c r="J527" s="10">
        <v>56</v>
      </c>
      <c r="K527" s="10">
        <v>56</v>
      </c>
    </row>
    <row r="528" spans="1:11" ht="63" x14ac:dyDescent="0.25">
      <c r="A528" s="69"/>
      <c r="B528" s="76"/>
      <c r="C528" s="69"/>
      <c r="D528" s="28" t="s">
        <v>601</v>
      </c>
      <c r="E528" s="8" t="s">
        <v>609</v>
      </c>
      <c r="F528" s="9" t="s">
        <v>109</v>
      </c>
      <c r="G528" s="1">
        <v>5163.58</v>
      </c>
      <c r="H528" s="1">
        <v>5096</v>
      </c>
      <c r="I528" s="1">
        <v>4345.04</v>
      </c>
      <c r="J528" s="1">
        <v>3351.04</v>
      </c>
      <c r="K528" s="1">
        <v>3340.4</v>
      </c>
    </row>
    <row r="529" spans="1:11" ht="47.25" x14ac:dyDescent="0.25">
      <c r="A529" s="69"/>
      <c r="B529" s="76"/>
      <c r="C529" s="69"/>
      <c r="D529" s="28" t="s">
        <v>600</v>
      </c>
      <c r="E529" s="8" t="s">
        <v>632</v>
      </c>
      <c r="F529" s="9" t="s">
        <v>68</v>
      </c>
      <c r="G529" s="10">
        <v>62</v>
      </c>
      <c r="H529" s="10" t="s">
        <v>165</v>
      </c>
      <c r="I529" s="10" t="s">
        <v>165</v>
      </c>
      <c r="J529" s="10" t="s">
        <v>165</v>
      </c>
      <c r="K529" s="10" t="s">
        <v>165</v>
      </c>
    </row>
    <row r="530" spans="1:11" ht="47.25" x14ac:dyDescent="0.25">
      <c r="A530" s="69"/>
      <c r="B530" s="76"/>
      <c r="C530" s="69"/>
      <c r="D530" s="28" t="s">
        <v>1344</v>
      </c>
      <c r="E530" s="8" t="s">
        <v>1345</v>
      </c>
      <c r="F530" s="9" t="s">
        <v>68</v>
      </c>
      <c r="G530" s="10" t="s">
        <v>165</v>
      </c>
      <c r="H530" s="10">
        <v>86</v>
      </c>
      <c r="I530" s="10">
        <v>86</v>
      </c>
      <c r="J530" s="10">
        <v>86</v>
      </c>
      <c r="K530" s="10">
        <v>86</v>
      </c>
    </row>
    <row r="531" spans="1:11" ht="63" x14ac:dyDescent="0.25">
      <c r="A531" s="69"/>
      <c r="B531" s="76"/>
      <c r="C531" s="69"/>
      <c r="D531" s="28" t="s">
        <v>601</v>
      </c>
      <c r="E531" s="8" t="s">
        <v>609</v>
      </c>
      <c r="F531" s="9" t="s">
        <v>109</v>
      </c>
      <c r="G531" s="1">
        <v>4786.83</v>
      </c>
      <c r="H531" s="1">
        <v>7826</v>
      </c>
      <c r="I531" s="1">
        <v>6672.7400000000007</v>
      </c>
      <c r="J531" s="1">
        <v>5146.2400000000007</v>
      </c>
      <c r="K531" s="1">
        <v>5129.8999999999996</v>
      </c>
    </row>
    <row r="532" spans="1:11" ht="63" x14ac:dyDescent="0.25">
      <c r="A532" s="69"/>
      <c r="B532" s="76"/>
      <c r="C532" s="69"/>
      <c r="D532" s="28" t="s">
        <v>600</v>
      </c>
      <c r="E532" s="8" t="s">
        <v>633</v>
      </c>
      <c r="F532" s="9" t="s">
        <v>68</v>
      </c>
      <c r="G532" s="10">
        <v>28</v>
      </c>
      <c r="H532" s="10" t="s">
        <v>165</v>
      </c>
      <c r="I532" s="10" t="s">
        <v>165</v>
      </c>
      <c r="J532" s="10" t="s">
        <v>165</v>
      </c>
      <c r="K532" s="10" t="s">
        <v>165</v>
      </c>
    </row>
    <row r="533" spans="1:11" ht="63" x14ac:dyDescent="0.25">
      <c r="A533" s="69"/>
      <c r="B533" s="76"/>
      <c r="C533" s="69"/>
      <c r="D533" s="28" t="s">
        <v>1348</v>
      </c>
      <c r="E533" s="8" t="s">
        <v>1349</v>
      </c>
      <c r="F533" s="9" t="s">
        <v>68</v>
      </c>
      <c r="G533" s="10" t="s">
        <v>165</v>
      </c>
      <c r="H533" s="10">
        <v>8</v>
      </c>
      <c r="I533" s="10">
        <v>8</v>
      </c>
      <c r="J533" s="10">
        <v>8</v>
      </c>
      <c r="K533" s="10">
        <v>8</v>
      </c>
    </row>
    <row r="534" spans="1:11" ht="63" x14ac:dyDescent="0.25">
      <c r="A534" s="69"/>
      <c r="B534" s="76"/>
      <c r="C534" s="69"/>
      <c r="D534" s="28" t="s">
        <v>601</v>
      </c>
      <c r="E534" s="8" t="s">
        <v>609</v>
      </c>
      <c r="F534" s="9" t="s">
        <v>109</v>
      </c>
      <c r="G534" s="1">
        <v>3115.87</v>
      </c>
      <c r="H534" s="1">
        <v>728</v>
      </c>
      <c r="I534" s="1">
        <v>620.72</v>
      </c>
      <c r="J534" s="1">
        <v>478.72</v>
      </c>
      <c r="K534" s="1">
        <v>477.2</v>
      </c>
    </row>
    <row r="535" spans="1:11" ht="47.25" x14ac:dyDescent="0.25">
      <c r="A535" s="69"/>
      <c r="B535" s="76"/>
      <c r="C535" s="69"/>
      <c r="D535" s="28" t="s">
        <v>600</v>
      </c>
      <c r="E535" s="8" t="s">
        <v>634</v>
      </c>
      <c r="F535" s="9" t="s">
        <v>68</v>
      </c>
      <c r="G535" s="10">
        <v>8</v>
      </c>
      <c r="H535" s="10" t="s">
        <v>165</v>
      </c>
      <c r="I535" s="10" t="s">
        <v>165</v>
      </c>
      <c r="J535" s="10" t="s">
        <v>165</v>
      </c>
      <c r="K535" s="10" t="s">
        <v>165</v>
      </c>
    </row>
    <row r="536" spans="1:11" ht="47.25" x14ac:dyDescent="0.25">
      <c r="A536" s="69"/>
      <c r="B536" s="76"/>
      <c r="C536" s="69"/>
      <c r="D536" s="28" t="s">
        <v>1350</v>
      </c>
      <c r="E536" s="8" t="s">
        <v>1351</v>
      </c>
      <c r="F536" s="9" t="s">
        <v>68</v>
      </c>
      <c r="G536" s="10" t="s">
        <v>165</v>
      </c>
      <c r="H536" s="10">
        <v>21</v>
      </c>
      <c r="I536" s="10">
        <v>21</v>
      </c>
      <c r="J536" s="10">
        <v>21</v>
      </c>
      <c r="K536" s="10">
        <v>21</v>
      </c>
    </row>
    <row r="537" spans="1:11" ht="63" x14ac:dyDescent="0.25">
      <c r="A537" s="69"/>
      <c r="B537" s="76"/>
      <c r="C537" s="69"/>
      <c r="D537" s="28" t="s">
        <v>601</v>
      </c>
      <c r="E537" s="8" t="s">
        <v>609</v>
      </c>
      <c r="F537" s="9" t="s">
        <v>109</v>
      </c>
      <c r="G537" s="1">
        <v>712.23</v>
      </c>
      <c r="H537" s="1">
        <v>1911</v>
      </c>
      <c r="I537" s="1">
        <v>1629.39</v>
      </c>
      <c r="J537" s="1">
        <v>1256.6400000000001</v>
      </c>
      <c r="K537" s="1">
        <v>1252.6499999999999</v>
      </c>
    </row>
    <row r="538" spans="1:11" ht="47.25" x14ac:dyDescent="0.25">
      <c r="A538" s="69"/>
      <c r="B538" s="76"/>
      <c r="C538" s="69"/>
      <c r="D538" s="28" t="s">
        <v>600</v>
      </c>
      <c r="E538" s="8" t="s">
        <v>635</v>
      </c>
      <c r="F538" s="9" t="s">
        <v>68</v>
      </c>
      <c r="G538" s="10">
        <v>19</v>
      </c>
      <c r="H538" s="10" t="s">
        <v>165</v>
      </c>
      <c r="I538" s="10" t="s">
        <v>165</v>
      </c>
      <c r="J538" s="10" t="s">
        <v>165</v>
      </c>
      <c r="K538" s="10" t="s">
        <v>165</v>
      </c>
    </row>
    <row r="539" spans="1:11" ht="63" x14ac:dyDescent="0.25">
      <c r="A539" s="69"/>
      <c r="B539" s="76"/>
      <c r="C539" s="69"/>
      <c r="D539" s="28" t="s">
        <v>601</v>
      </c>
      <c r="E539" s="8" t="s">
        <v>609</v>
      </c>
      <c r="F539" s="9" t="s">
        <v>109</v>
      </c>
      <c r="G539" s="1">
        <v>1691.53</v>
      </c>
      <c r="H539" s="1">
        <v>0</v>
      </c>
      <c r="I539" s="1">
        <v>0</v>
      </c>
      <c r="J539" s="1">
        <v>0</v>
      </c>
      <c r="K539" s="1">
        <v>0</v>
      </c>
    </row>
    <row r="540" spans="1:11" ht="47.25" x14ac:dyDescent="0.25">
      <c r="A540" s="69"/>
      <c r="B540" s="76"/>
      <c r="C540" s="69"/>
      <c r="D540" s="28" t="s">
        <v>600</v>
      </c>
      <c r="E540" s="8" t="s">
        <v>636</v>
      </c>
      <c r="F540" s="9" t="s">
        <v>68</v>
      </c>
      <c r="G540" s="10">
        <v>76</v>
      </c>
      <c r="H540" s="10" t="s">
        <v>165</v>
      </c>
      <c r="I540" s="10" t="s">
        <v>165</v>
      </c>
      <c r="J540" s="10" t="s">
        <v>165</v>
      </c>
      <c r="K540" s="10" t="s">
        <v>165</v>
      </c>
    </row>
    <row r="541" spans="1:11" ht="47.25" x14ac:dyDescent="0.25">
      <c r="A541" s="69"/>
      <c r="B541" s="76"/>
      <c r="C541" s="69"/>
      <c r="D541" s="28" t="s">
        <v>1411</v>
      </c>
      <c r="E541" s="8" t="s">
        <v>1412</v>
      </c>
      <c r="F541" s="9" t="s">
        <v>68</v>
      </c>
      <c r="G541" s="10" t="s">
        <v>165</v>
      </c>
      <c r="H541" s="10">
        <v>103</v>
      </c>
      <c r="I541" s="10">
        <v>103</v>
      </c>
      <c r="J541" s="10">
        <v>103</v>
      </c>
      <c r="K541" s="10">
        <v>103</v>
      </c>
    </row>
    <row r="542" spans="1:11" ht="63" x14ac:dyDescent="0.25">
      <c r="A542" s="69"/>
      <c r="B542" s="76"/>
      <c r="C542" s="69"/>
      <c r="D542" s="28" t="s">
        <v>601</v>
      </c>
      <c r="E542" s="8" t="s">
        <v>609</v>
      </c>
      <c r="F542" s="9" t="s">
        <v>109</v>
      </c>
      <c r="G542" s="1">
        <v>4708.3467499999997</v>
      </c>
      <c r="H542" s="1">
        <v>9373</v>
      </c>
      <c r="I542" s="1">
        <v>7991.77</v>
      </c>
      <c r="J542" s="1">
        <v>6163.52</v>
      </c>
      <c r="K542" s="1">
        <v>6143.95</v>
      </c>
    </row>
    <row r="543" spans="1:11" ht="31.5" x14ac:dyDescent="0.25">
      <c r="A543" s="69"/>
      <c r="B543" s="76"/>
      <c r="C543" s="69"/>
      <c r="D543" s="28" t="s">
        <v>600</v>
      </c>
      <c r="E543" s="8" t="s">
        <v>637</v>
      </c>
      <c r="F543" s="9" t="s">
        <v>68</v>
      </c>
      <c r="G543" s="10">
        <f>87+27</f>
        <v>114</v>
      </c>
      <c r="H543" s="10" t="s">
        <v>165</v>
      </c>
      <c r="I543" s="10" t="s">
        <v>165</v>
      </c>
      <c r="J543" s="10" t="s">
        <v>165</v>
      </c>
      <c r="K543" s="10" t="s">
        <v>165</v>
      </c>
    </row>
    <row r="544" spans="1:11" ht="51" customHeight="1" x14ac:dyDescent="0.25">
      <c r="A544" s="69"/>
      <c r="B544" s="76"/>
      <c r="C544" s="69"/>
      <c r="D544" s="28" t="s">
        <v>1413</v>
      </c>
      <c r="E544" s="64" t="s">
        <v>1414</v>
      </c>
      <c r="F544" s="55" t="s">
        <v>68</v>
      </c>
      <c r="G544" s="10" t="s">
        <v>165</v>
      </c>
      <c r="H544" s="10">
        <v>75</v>
      </c>
      <c r="I544" s="10">
        <v>75</v>
      </c>
      <c r="J544" s="10">
        <v>75</v>
      </c>
      <c r="K544" s="10">
        <v>75</v>
      </c>
    </row>
    <row r="545" spans="1:11" ht="31.5" x14ac:dyDescent="0.25">
      <c r="A545" s="69"/>
      <c r="B545" s="76"/>
      <c r="C545" s="69"/>
      <c r="D545" s="28" t="s">
        <v>1415</v>
      </c>
      <c r="E545" s="65"/>
      <c r="F545" s="57"/>
      <c r="G545" s="10" t="s">
        <v>165</v>
      </c>
      <c r="H545" s="10">
        <v>19</v>
      </c>
      <c r="I545" s="10">
        <v>19</v>
      </c>
      <c r="J545" s="10">
        <v>19</v>
      </c>
      <c r="K545" s="10">
        <v>19</v>
      </c>
    </row>
    <row r="546" spans="1:11" ht="63" x14ac:dyDescent="0.25">
      <c r="A546" s="69"/>
      <c r="B546" s="76"/>
      <c r="C546" s="69"/>
      <c r="D546" s="28" t="s">
        <v>601</v>
      </c>
      <c r="E546" s="8" t="s">
        <v>609</v>
      </c>
      <c r="F546" s="9" t="s">
        <v>109</v>
      </c>
      <c r="G546" s="1">
        <f>5551.15+1314.78</f>
        <v>6865.9299999999994</v>
      </c>
      <c r="H546" s="1">
        <f>6825+1729</f>
        <v>8554</v>
      </c>
      <c r="I546" s="1">
        <f>5819.25+1474.21</f>
        <v>7293.46</v>
      </c>
      <c r="J546" s="1">
        <f>4488+1136.96</f>
        <v>5624.96</v>
      </c>
      <c r="K546" s="1">
        <f>4473.75+1133.35</f>
        <v>5607.1</v>
      </c>
    </row>
    <row r="547" spans="1:11" ht="47.25" x14ac:dyDescent="0.25">
      <c r="A547" s="69"/>
      <c r="B547" s="76"/>
      <c r="C547" s="69"/>
      <c r="D547" s="28" t="s">
        <v>600</v>
      </c>
      <c r="E547" s="8" t="s">
        <v>638</v>
      </c>
      <c r="F547" s="9" t="s">
        <v>68</v>
      </c>
      <c r="G547" s="10">
        <v>8</v>
      </c>
      <c r="H547" s="10" t="s">
        <v>165</v>
      </c>
      <c r="I547" s="10" t="s">
        <v>165</v>
      </c>
      <c r="J547" s="10" t="s">
        <v>165</v>
      </c>
      <c r="K547" s="10" t="s">
        <v>165</v>
      </c>
    </row>
    <row r="548" spans="1:11" ht="47.25" x14ac:dyDescent="0.25">
      <c r="A548" s="69"/>
      <c r="B548" s="76"/>
      <c r="C548" s="69"/>
      <c r="D548" s="28" t="s">
        <v>1416</v>
      </c>
      <c r="E548" s="8" t="s">
        <v>1417</v>
      </c>
      <c r="F548" s="9" t="s">
        <v>68</v>
      </c>
      <c r="G548" s="10" t="s">
        <v>165</v>
      </c>
      <c r="H548" s="10">
        <v>28</v>
      </c>
      <c r="I548" s="10">
        <v>28</v>
      </c>
      <c r="J548" s="10">
        <v>28</v>
      </c>
      <c r="K548" s="10">
        <v>28</v>
      </c>
    </row>
    <row r="549" spans="1:11" ht="63" x14ac:dyDescent="0.25">
      <c r="A549" s="69"/>
      <c r="B549" s="76"/>
      <c r="C549" s="69"/>
      <c r="D549" s="28" t="s">
        <v>601</v>
      </c>
      <c r="E549" s="8" t="s">
        <v>609</v>
      </c>
      <c r="F549" s="9" t="s">
        <v>109</v>
      </c>
      <c r="G549" s="1">
        <v>712.23</v>
      </c>
      <c r="H549" s="1">
        <v>2548</v>
      </c>
      <c r="I549" s="1">
        <v>2172.52</v>
      </c>
      <c r="J549" s="1">
        <v>1675.52</v>
      </c>
      <c r="K549" s="1">
        <v>1670.2</v>
      </c>
    </row>
    <row r="550" spans="1:11" ht="31.5" x14ac:dyDescent="0.25">
      <c r="A550" s="69"/>
      <c r="B550" s="76"/>
      <c r="C550" s="69"/>
      <c r="D550" s="28" t="s">
        <v>600</v>
      </c>
      <c r="E550" s="8" t="s">
        <v>639</v>
      </c>
      <c r="F550" s="9" t="s">
        <v>68</v>
      </c>
      <c r="G550" s="10">
        <v>61</v>
      </c>
      <c r="H550" s="10" t="s">
        <v>165</v>
      </c>
      <c r="I550" s="10" t="s">
        <v>165</v>
      </c>
      <c r="J550" s="10" t="s">
        <v>165</v>
      </c>
      <c r="K550" s="10" t="s">
        <v>165</v>
      </c>
    </row>
    <row r="551" spans="1:11" ht="47.25" x14ac:dyDescent="0.25">
      <c r="A551" s="69"/>
      <c r="B551" s="76"/>
      <c r="C551" s="69"/>
      <c r="D551" s="28" t="s">
        <v>1418</v>
      </c>
      <c r="E551" s="8" t="s">
        <v>1419</v>
      </c>
      <c r="F551" s="9" t="s">
        <v>68</v>
      </c>
      <c r="G551" s="10" t="s">
        <v>165</v>
      </c>
      <c r="H551" s="10">
        <v>62</v>
      </c>
      <c r="I551" s="10">
        <v>62</v>
      </c>
      <c r="J551" s="10">
        <v>62</v>
      </c>
      <c r="K551" s="10">
        <v>62</v>
      </c>
    </row>
    <row r="552" spans="1:11" ht="63" x14ac:dyDescent="0.25">
      <c r="A552" s="69"/>
      <c r="B552" s="76"/>
      <c r="C552" s="69"/>
      <c r="D552" s="28" t="s">
        <v>601</v>
      </c>
      <c r="E552" s="8" t="s">
        <v>609</v>
      </c>
      <c r="F552" s="9" t="s">
        <v>109</v>
      </c>
      <c r="G552" s="1">
        <v>4519.75</v>
      </c>
      <c r="H552" s="1">
        <v>5642</v>
      </c>
      <c r="I552" s="1">
        <v>4810.58</v>
      </c>
      <c r="J552" s="1">
        <v>3710.0800000000004</v>
      </c>
      <c r="K552" s="1">
        <v>3698.2999999999997</v>
      </c>
    </row>
    <row r="553" spans="1:11" ht="47.25" x14ac:dyDescent="0.25">
      <c r="A553" s="69"/>
      <c r="B553" s="76"/>
      <c r="C553" s="69"/>
      <c r="D553" s="28" t="s">
        <v>600</v>
      </c>
      <c r="E553" s="8" t="s">
        <v>640</v>
      </c>
      <c r="F553" s="9" t="s">
        <v>68</v>
      </c>
      <c r="G553" s="10">
        <f>32+32</f>
        <v>64</v>
      </c>
      <c r="H553" s="10" t="s">
        <v>165</v>
      </c>
      <c r="I553" s="10" t="s">
        <v>165</v>
      </c>
      <c r="J553" s="10" t="s">
        <v>165</v>
      </c>
      <c r="K553" s="10" t="s">
        <v>165</v>
      </c>
    </row>
    <row r="554" spans="1:11" ht="47.25" x14ac:dyDescent="0.25">
      <c r="A554" s="69"/>
      <c r="B554" s="76"/>
      <c r="C554" s="69"/>
      <c r="D554" s="28" t="s">
        <v>1465</v>
      </c>
      <c r="E554" s="8" t="s">
        <v>1466</v>
      </c>
      <c r="F554" s="9" t="s">
        <v>68</v>
      </c>
      <c r="G554" s="10" t="s">
        <v>165</v>
      </c>
      <c r="H554" s="10">
        <v>58</v>
      </c>
      <c r="I554" s="10">
        <v>58</v>
      </c>
      <c r="J554" s="10">
        <v>58</v>
      </c>
      <c r="K554" s="10">
        <v>58</v>
      </c>
    </row>
    <row r="555" spans="1:11" ht="63" customHeight="1" x14ac:dyDescent="0.25">
      <c r="A555" s="69"/>
      <c r="B555" s="76"/>
      <c r="C555" s="69"/>
      <c r="D555" s="28" t="s">
        <v>641</v>
      </c>
      <c r="E555" s="23" t="s">
        <v>609</v>
      </c>
      <c r="F555" s="24" t="s">
        <v>109</v>
      </c>
      <c r="G555" s="1">
        <v>4315.8500000000004</v>
      </c>
      <c r="H555" s="1">
        <v>5060.5</v>
      </c>
      <c r="I555" s="1">
        <v>3917.8999999999996</v>
      </c>
      <c r="J555" s="1">
        <v>3049.06</v>
      </c>
      <c r="K555" s="1">
        <v>2987</v>
      </c>
    </row>
    <row r="556" spans="1:11" ht="63" x14ac:dyDescent="0.25">
      <c r="A556" s="69"/>
      <c r="B556" s="76"/>
      <c r="C556" s="69"/>
      <c r="D556" s="28" t="s">
        <v>600</v>
      </c>
      <c r="E556" s="8" t="s">
        <v>642</v>
      </c>
      <c r="F556" s="9" t="s">
        <v>68</v>
      </c>
      <c r="G556" s="10">
        <v>27</v>
      </c>
      <c r="H556" s="10" t="s">
        <v>165</v>
      </c>
      <c r="I556" s="10" t="s">
        <v>165</v>
      </c>
      <c r="J556" s="10" t="s">
        <v>165</v>
      </c>
      <c r="K556" s="10" t="s">
        <v>165</v>
      </c>
    </row>
    <row r="557" spans="1:11" ht="63" x14ac:dyDescent="0.25">
      <c r="A557" s="69"/>
      <c r="B557" s="76"/>
      <c r="C557" s="69"/>
      <c r="D557" s="28" t="s">
        <v>1425</v>
      </c>
      <c r="E557" s="8" t="s">
        <v>1426</v>
      </c>
      <c r="F557" s="9" t="s">
        <v>68</v>
      </c>
      <c r="G557" s="10" t="s">
        <v>165</v>
      </c>
      <c r="H557" s="10">
        <v>45</v>
      </c>
      <c r="I557" s="10">
        <v>45</v>
      </c>
      <c r="J557" s="10">
        <v>45</v>
      </c>
      <c r="K557" s="10">
        <v>45</v>
      </c>
    </row>
    <row r="558" spans="1:11" ht="63" x14ac:dyDescent="0.25">
      <c r="A558" s="69"/>
      <c r="B558" s="76"/>
      <c r="C558" s="69"/>
      <c r="D558" s="28" t="s">
        <v>641</v>
      </c>
      <c r="E558" s="8" t="s">
        <v>609</v>
      </c>
      <c r="F558" s="9" t="s">
        <v>109</v>
      </c>
      <c r="G558" s="1">
        <v>1209.18</v>
      </c>
      <c r="H558" s="1">
        <v>3926.25</v>
      </c>
      <c r="I558" s="1">
        <v>3039.75</v>
      </c>
      <c r="J558" s="1">
        <v>2365.65</v>
      </c>
      <c r="K558" s="1">
        <v>2317.5</v>
      </c>
    </row>
    <row r="559" spans="1:11" ht="94.5" x14ac:dyDescent="0.25">
      <c r="A559" s="69"/>
      <c r="B559" s="76"/>
      <c r="C559" s="69"/>
      <c r="D559" s="28" t="s">
        <v>600</v>
      </c>
      <c r="E559" s="8" t="s">
        <v>643</v>
      </c>
      <c r="F559" s="9" t="s">
        <v>68</v>
      </c>
      <c r="G559" s="10">
        <v>24</v>
      </c>
      <c r="H559" s="10" t="s">
        <v>165</v>
      </c>
      <c r="I559" s="10" t="s">
        <v>165</v>
      </c>
      <c r="J559" s="10" t="s">
        <v>165</v>
      </c>
      <c r="K559" s="10" t="s">
        <v>165</v>
      </c>
    </row>
    <row r="560" spans="1:11" ht="94.5" x14ac:dyDescent="0.25">
      <c r="A560" s="69"/>
      <c r="B560" s="76"/>
      <c r="C560" s="69"/>
      <c r="D560" s="28" t="s">
        <v>1346</v>
      </c>
      <c r="E560" s="8" t="s">
        <v>1347</v>
      </c>
      <c r="F560" s="9" t="s">
        <v>68</v>
      </c>
      <c r="G560" s="10" t="s">
        <v>165</v>
      </c>
      <c r="H560" s="10">
        <v>22</v>
      </c>
      <c r="I560" s="10">
        <v>22</v>
      </c>
      <c r="J560" s="10">
        <v>22</v>
      </c>
      <c r="K560" s="10">
        <v>22</v>
      </c>
    </row>
    <row r="561" spans="1:11" ht="63" x14ac:dyDescent="0.25">
      <c r="A561" s="69"/>
      <c r="B561" s="76"/>
      <c r="C561" s="69"/>
      <c r="D561" s="28" t="s">
        <v>641</v>
      </c>
      <c r="E561" s="8" t="s">
        <v>609</v>
      </c>
      <c r="F561" s="9" t="s">
        <v>109</v>
      </c>
      <c r="G561" s="1">
        <v>1030.07</v>
      </c>
      <c r="H561" s="1">
        <v>1919.5</v>
      </c>
      <c r="I561" s="1">
        <v>1486.1</v>
      </c>
      <c r="J561" s="1">
        <v>1156.54</v>
      </c>
      <c r="K561" s="1">
        <v>1133</v>
      </c>
    </row>
    <row r="562" spans="1:11" ht="47.25" x14ac:dyDescent="0.25">
      <c r="A562" s="69"/>
      <c r="B562" s="76"/>
      <c r="C562" s="69"/>
      <c r="D562" s="28" t="s">
        <v>600</v>
      </c>
      <c r="E562" s="8" t="s">
        <v>644</v>
      </c>
      <c r="F562" s="9" t="s">
        <v>68</v>
      </c>
      <c r="G562" s="10">
        <v>11</v>
      </c>
      <c r="H562" s="10" t="s">
        <v>165</v>
      </c>
      <c r="I562" s="10" t="s">
        <v>165</v>
      </c>
      <c r="J562" s="10" t="s">
        <v>165</v>
      </c>
      <c r="K562" s="10" t="s">
        <v>165</v>
      </c>
    </row>
    <row r="563" spans="1:11" ht="63" x14ac:dyDescent="0.25">
      <c r="A563" s="69"/>
      <c r="B563" s="76"/>
      <c r="C563" s="69"/>
      <c r="D563" s="28" t="s">
        <v>641</v>
      </c>
      <c r="E563" s="8" t="s">
        <v>609</v>
      </c>
      <c r="F563" s="9" t="s">
        <v>109</v>
      </c>
      <c r="G563" s="1">
        <v>492.65</v>
      </c>
      <c r="H563" s="1">
        <v>0</v>
      </c>
      <c r="I563" s="1">
        <v>0</v>
      </c>
      <c r="J563" s="1">
        <v>0</v>
      </c>
      <c r="K563" s="1">
        <v>0</v>
      </c>
    </row>
    <row r="564" spans="1:11" ht="47.25" x14ac:dyDescent="0.25">
      <c r="A564" s="69"/>
      <c r="B564" s="76"/>
      <c r="C564" s="69"/>
      <c r="D564" s="28" t="s">
        <v>600</v>
      </c>
      <c r="E564" s="8" t="s">
        <v>991</v>
      </c>
      <c r="F564" s="9" t="s">
        <v>68</v>
      </c>
      <c r="G564" s="10">
        <v>16</v>
      </c>
      <c r="H564" s="10" t="s">
        <v>165</v>
      </c>
      <c r="I564" s="10" t="s">
        <v>165</v>
      </c>
      <c r="J564" s="10" t="s">
        <v>165</v>
      </c>
      <c r="K564" s="10" t="s">
        <v>165</v>
      </c>
    </row>
    <row r="565" spans="1:11" ht="63" x14ac:dyDescent="0.25">
      <c r="A565" s="69"/>
      <c r="B565" s="76"/>
      <c r="C565" s="69"/>
      <c r="D565" s="28" t="s">
        <v>1270</v>
      </c>
      <c r="E565" s="8" t="s">
        <v>1271</v>
      </c>
      <c r="F565" s="9" t="s">
        <v>68</v>
      </c>
      <c r="G565" s="10" t="s">
        <v>165</v>
      </c>
      <c r="H565" s="10">
        <v>75</v>
      </c>
      <c r="I565" s="10">
        <v>75</v>
      </c>
      <c r="J565" s="10">
        <v>75</v>
      </c>
      <c r="K565" s="10">
        <v>75</v>
      </c>
    </row>
    <row r="566" spans="1:11" ht="63" x14ac:dyDescent="0.25">
      <c r="A566" s="69"/>
      <c r="B566" s="76"/>
      <c r="C566" s="69"/>
      <c r="D566" s="28" t="s">
        <v>641</v>
      </c>
      <c r="E566" s="8" t="s">
        <v>609</v>
      </c>
      <c r="F566" s="9" t="s">
        <v>109</v>
      </c>
      <c r="G566" s="1">
        <v>1424.46</v>
      </c>
      <c r="H566" s="10">
        <v>6825</v>
      </c>
      <c r="I566" s="1">
        <v>5819.25</v>
      </c>
      <c r="J566" s="1">
        <v>4488</v>
      </c>
      <c r="K566" s="1">
        <v>4473.75</v>
      </c>
    </row>
    <row r="567" spans="1:11" ht="15.75" x14ac:dyDescent="0.25">
      <c r="A567" s="69" t="s">
        <v>908</v>
      </c>
      <c r="B567" s="76"/>
      <c r="C567" s="56" t="s">
        <v>645</v>
      </c>
      <c r="D567" s="8" t="s">
        <v>646</v>
      </c>
      <c r="E567" s="8" t="s">
        <v>602</v>
      </c>
      <c r="F567" s="9" t="s">
        <v>68</v>
      </c>
      <c r="G567" s="10">
        <v>125</v>
      </c>
      <c r="H567" s="10" t="s">
        <v>165</v>
      </c>
      <c r="I567" s="10" t="s">
        <v>165</v>
      </c>
      <c r="J567" s="10" t="s">
        <v>165</v>
      </c>
      <c r="K567" s="10" t="s">
        <v>165</v>
      </c>
    </row>
    <row r="568" spans="1:11" ht="141.75" customHeight="1" x14ac:dyDescent="0.25">
      <c r="A568" s="69"/>
      <c r="B568" s="76"/>
      <c r="C568" s="57"/>
      <c r="D568" s="8" t="s">
        <v>601</v>
      </c>
      <c r="E568" s="8" t="s">
        <v>609</v>
      </c>
      <c r="F568" s="9" t="s">
        <v>109</v>
      </c>
      <c r="G568" s="1">
        <v>9492.4996100000008</v>
      </c>
      <c r="H568" s="1">
        <v>0</v>
      </c>
      <c r="I568" s="1">
        <v>0</v>
      </c>
      <c r="J568" s="1">
        <v>0</v>
      </c>
      <c r="K568" s="1">
        <v>0</v>
      </c>
    </row>
    <row r="569" spans="1:11" ht="24.75" customHeight="1" x14ac:dyDescent="0.25">
      <c r="A569" s="55" t="s">
        <v>910</v>
      </c>
      <c r="B569" s="76"/>
      <c r="C569" s="69" t="s">
        <v>647</v>
      </c>
      <c r="D569" s="8" t="s">
        <v>648</v>
      </c>
      <c r="E569" s="8" t="s">
        <v>602</v>
      </c>
      <c r="F569" s="9" t="s">
        <v>68</v>
      </c>
      <c r="G569" s="10">
        <f>455+69</f>
        <v>524</v>
      </c>
      <c r="H569" s="10">
        <v>276</v>
      </c>
      <c r="I569" s="10">
        <v>276</v>
      </c>
      <c r="J569" s="10">
        <v>276</v>
      </c>
      <c r="K569" s="10">
        <v>276</v>
      </c>
    </row>
    <row r="570" spans="1:11" ht="57.75" customHeight="1" x14ac:dyDescent="0.25">
      <c r="A570" s="56"/>
      <c r="B570" s="76"/>
      <c r="C570" s="69"/>
      <c r="D570" s="8" t="s">
        <v>705</v>
      </c>
      <c r="E570" s="64" t="s">
        <v>609</v>
      </c>
      <c r="F570" s="55" t="s">
        <v>109</v>
      </c>
      <c r="G570" s="1">
        <f>29940.12</f>
        <v>29940.12</v>
      </c>
      <c r="H570" s="1">
        <v>25116</v>
      </c>
      <c r="I570" s="1">
        <v>21414.84</v>
      </c>
      <c r="J570" s="1">
        <v>16515.84</v>
      </c>
      <c r="K570" s="1">
        <v>16463.399999999998</v>
      </c>
    </row>
    <row r="571" spans="1:11" ht="78" customHeight="1" x14ac:dyDescent="0.25">
      <c r="A571" s="57"/>
      <c r="B571" s="76"/>
      <c r="C571" s="69"/>
      <c r="D571" s="8" t="s">
        <v>706</v>
      </c>
      <c r="E571" s="65"/>
      <c r="F571" s="57"/>
      <c r="G571" s="1">
        <v>3097.06</v>
      </c>
      <c r="H571" s="1">
        <v>0</v>
      </c>
      <c r="I571" s="1">
        <v>0</v>
      </c>
      <c r="J571" s="1">
        <v>0</v>
      </c>
      <c r="K571" s="1">
        <v>0</v>
      </c>
    </row>
    <row r="572" spans="1:11" ht="22.5" customHeight="1" x14ac:dyDescent="0.25">
      <c r="A572" s="55" t="s">
        <v>911</v>
      </c>
      <c r="B572" s="76"/>
      <c r="C572" s="56" t="s">
        <v>649</v>
      </c>
      <c r="D572" s="8" t="s">
        <v>650</v>
      </c>
      <c r="E572" s="8" t="s">
        <v>602</v>
      </c>
      <c r="F572" s="9" t="s">
        <v>68</v>
      </c>
      <c r="G572" s="10">
        <f>2+72</f>
        <v>74</v>
      </c>
      <c r="H572" s="10" t="s">
        <v>165</v>
      </c>
      <c r="I572" s="10" t="s">
        <v>165</v>
      </c>
      <c r="J572" s="10" t="s">
        <v>165</v>
      </c>
      <c r="K572" s="10" t="s">
        <v>165</v>
      </c>
    </row>
    <row r="573" spans="1:11" ht="126" customHeight="1" x14ac:dyDescent="0.25">
      <c r="A573" s="57"/>
      <c r="B573" s="76"/>
      <c r="C573" s="57"/>
      <c r="D573" s="8" t="s">
        <v>651</v>
      </c>
      <c r="E573" s="8" t="s">
        <v>609</v>
      </c>
      <c r="F573" s="9" t="s">
        <v>109</v>
      </c>
      <c r="G573" s="1">
        <f>178.09+3260.32</f>
        <v>3438.4100000000003</v>
      </c>
      <c r="H573" s="1">
        <v>0</v>
      </c>
      <c r="I573" s="1">
        <v>0</v>
      </c>
      <c r="J573" s="1">
        <v>0</v>
      </c>
      <c r="K573" s="1">
        <v>0</v>
      </c>
    </row>
    <row r="574" spans="1:11" ht="47.25" customHeight="1" x14ac:dyDescent="0.25">
      <c r="A574" s="55" t="s">
        <v>912</v>
      </c>
      <c r="B574" s="76"/>
      <c r="C574" s="55" t="s">
        <v>603</v>
      </c>
      <c r="D574" s="8" t="s">
        <v>652</v>
      </c>
      <c r="E574" s="8" t="s">
        <v>653</v>
      </c>
      <c r="F574" s="9" t="s">
        <v>68</v>
      </c>
      <c r="G574" s="10">
        <v>11</v>
      </c>
      <c r="H574" s="10" t="s">
        <v>165</v>
      </c>
      <c r="I574" s="10" t="s">
        <v>165</v>
      </c>
      <c r="J574" s="10" t="s">
        <v>165</v>
      </c>
      <c r="K574" s="10" t="s">
        <v>165</v>
      </c>
    </row>
    <row r="575" spans="1:11" ht="65.25" customHeight="1" x14ac:dyDescent="0.25">
      <c r="A575" s="56"/>
      <c r="B575" s="76"/>
      <c r="C575" s="56"/>
      <c r="D575" s="8" t="s">
        <v>601</v>
      </c>
      <c r="E575" s="8" t="s">
        <v>609</v>
      </c>
      <c r="F575" s="9" t="s">
        <v>109</v>
      </c>
      <c r="G575" s="1">
        <v>979.3</v>
      </c>
      <c r="H575" s="1">
        <v>0</v>
      </c>
      <c r="I575" s="1">
        <v>0</v>
      </c>
      <c r="J575" s="1">
        <v>0</v>
      </c>
      <c r="K575" s="1">
        <v>0</v>
      </c>
    </row>
    <row r="576" spans="1:11" ht="63" x14ac:dyDescent="0.25">
      <c r="A576" s="56"/>
      <c r="B576" s="76"/>
      <c r="C576" s="56"/>
      <c r="D576" s="8" t="s">
        <v>652</v>
      </c>
      <c r="E576" s="8" t="s">
        <v>654</v>
      </c>
      <c r="F576" s="9" t="s">
        <v>68</v>
      </c>
      <c r="G576" s="10">
        <v>10</v>
      </c>
      <c r="H576" s="10" t="s">
        <v>165</v>
      </c>
      <c r="I576" s="10" t="s">
        <v>165</v>
      </c>
      <c r="J576" s="10" t="s">
        <v>165</v>
      </c>
      <c r="K576" s="10" t="s">
        <v>165</v>
      </c>
    </row>
    <row r="577" spans="1:11" ht="68.25" customHeight="1" x14ac:dyDescent="0.25">
      <c r="A577" s="56"/>
      <c r="B577" s="76"/>
      <c r="C577" s="56"/>
      <c r="D577" s="8" t="s">
        <v>601</v>
      </c>
      <c r="E577" s="8" t="s">
        <v>609</v>
      </c>
      <c r="F577" s="9" t="s">
        <v>109</v>
      </c>
      <c r="G577" s="1">
        <v>890.32</v>
      </c>
      <c r="H577" s="1">
        <v>0</v>
      </c>
      <c r="I577" s="1">
        <v>0</v>
      </c>
      <c r="J577" s="1">
        <v>0</v>
      </c>
      <c r="K577" s="1">
        <v>0</v>
      </c>
    </row>
    <row r="578" spans="1:11" ht="63" x14ac:dyDescent="0.25">
      <c r="A578" s="56"/>
      <c r="B578" s="76"/>
      <c r="C578" s="56"/>
      <c r="D578" s="8" t="s">
        <v>652</v>
      </c>
      <c r="E578" s="8" t="s">
        <v>655</v>
      </c>
      <c r="F578" s="9" t="s">
        <v>68</v>
      </c>
      <c r="G578" s="10">
        <v>15</v>
      </c>
      <c r="H578" s="10" t="s">
        <v>165</v>
      </c>
      <c r="I578" s="10" t="s">
        <v>165</v>
      </c>
      <c r="J578" s="10" t="s">
        <v>165</v>
      </c>
      <c r="K578" s="10" t="s">
        <v>165</v>
      </c>
    </row>
    <row r="579" spans="1:11" ht="63" x14ac:dyDescent="0.25">
      <c r="A579" s="57"/>
      <c r="B579" s="76"/>
      <c r="C579" s="57"/>
      <c r="D579" s="8" t="s">
        <v>601</v>
      </c>
      <c r="E579" s="8" t="s">
        <v>609</v>
      </c>
      <c r="F579" s="9" t="s">
        <v>109</v>
      </c>
      <c r="G579" s="1">
        <v>1335.35</v>
      </c>
      <c r="H579" s="1">
        <v>0</v>
      </c>
      <c r="I579" s="1">
        <v>0</v>
      </c>
      <c r="J579" s="1">
        <v>0</v>
      </c>
      <c r="K579" s="1">
        <v>0</v>
      </c>
    </row>
    <row r="580" spans="1:11" ht="47.25" customHeight="1" x14ac:dyDescent="0.25">
      <c r="A580" s="55" t="s">
        <v>913</v>
      </c>
      <c r="B580" s="76"/>
      <c r="C580" s="55" t="s">
        <v>656</v>
      </c>
      <c r="D580" s="8" t="s">
        <v>532</v>
      </c>
      <c r="E580" s="8" t="s">
        <v>657</v>
      </c>
      <c r="F580" s="9" t="s">
        <v>68</v>
      </c>
      <c r="G580" s="10">
        <f>83+13</f>
        <v>96</v>
      </c>
      <c r="H580" s="10" t="s">
        <v>165</v>
      </c>
      <c r="I580" s="10" t="s">
        <v>165</v>
      </c>
      <c r="J580" s="10" t="s">
        <v>165</v>
      </c>
      <c r="K580" s="10" t="s">
        <v>165</v>
      </c>
    </row>
    <row r="581" spans="1:11" ht="47.25" customHeight="1" x14ac:dyDescent="0.25">
      <c r="A581" s="56"/>
      <c r="B581" s="76"/>
      <c r="C581" s="56"/>
      <c r="D581" s="8" t="s">
        <v>1274</v>
      </c>
      <c r="E581" s="8" t="s">
        <v>1275</v>
      </c>
      <c r="F581" s="9" t="s">
        <v>68</v>
      </c>
      <c r="G581" s="10" t="s">
        <v>165</v>
      </c>
      <c r="H581" s="10">
        <v>92</v>
      </c>
      <c r="I581" s="10">
        <v>92</v>
      </c>
      <c r="J581" s="10">
        <v>92</v>
      </c>
      <c r="K581" s="10">
        <v>92</v>
      </c>
    </row>
    <row r="582" spans="1:11" ht="63" x14ac:dyDescent="0.25">
      <c r="A582" s="56"/>
      <c r="B582" s="76"/>
      <c r="C582" s="56"/>
      <c r="D582" s="8" t="s">
        <v>601</v>
      </c>
      <c r="E582" s="8" t="s">
        <v>609</v>
      </c>
      <c r="F582" s="9" t="s">
        <v>109</v>
      </c>
      <c r="G582" s="1">
        <f>6178.23+1513.44</f>
        <v>7691.67</v>
      </c>
      <c r="H582" s="1">
        <v>8372</v>
      </c>
      <c r="I582" s="1">
        <v>7138.2800000000007</v>
      </c>
      <c r="J582" s="1">
        <v>5505.2800000000007</v>
      </c>
      <c r="K582" s="1">
        <v>5487.8</v>
      </c>
    </row>
    <row r="583" spans="1:11" ht="96.75" customHeight="1" x14ac:dyDescent="0.25">
      <c r="A583" s="56"/>
      <c r="B583" s="76"/>
      <c r="C583" s="56"/>
      <c r="D583" s="8" t="s">
        <v>532</v>
      </c>
      <c r="E583" s="8" t="s">
        <v>658</v>
      </c>
      <c r="F583" s="9" t="s">
        <v>68</v>
      </c>
      <c r="G583" s="10">
        <v>248</v>
      </c>
      <c r="H583" s="10" t="s">
        <v>165</v>
      </c>
      <c r="I583" s="10" t="s">
        <v>165</v>
      </c>
      <c r="J583" s="10" t="s">
        <v>165</v>
      </c>
      <c r="K583" s="10" t="s">
        <v>165</v>
      </c>
    </row>
    <row r="584" spans="1:11" ht="96.75" customHeight="1" x14ac:dyDescent="0.25">
      <c r="A584" s="56"/>
      <c r="B584" s="76"/>
      <c r="C584" s="56"/>
      <c r="D584" s="8" t="s">
        <v>1276</v>
      </c>
      <c r="E584" s="8" t="s">
        <v>1277</v>
      </c>
      <c r="F584" s="9" t="s">
        <v>68</v>
      </c>
      <c r="G584" s="10" t="s">
        <v>165</v>
      </c>
      <c r="H584" s="10">
        <v>264</v>
      </c>
      <c r="I584" s="10">
        <v>264</v>
      </c>
      <c r="J584" s="10">
        <v>264</v>
      </c>
      <c r="K584" s="10">
        <v>264</v>
      </c>
    </row>
    <row r="585" spans="1:11" ht="63" x14ac:dyDescent="0.25">
      <c r="A585" s="56"/>
      <c r="B585" s="76"/>
      <c r="C585" s="56"/>
      <c r="D585" s="8" t="s">
        <v>601</v>
      </c>
      <c r="E585" s="8" t="s">
        <v>609</v>
      </c>
      <c r="F585" s="9" t="s">
        <v>109</v>
      </c>
      <c r="G585" s="1">
        <v>18989.79</v>
      </c>
      <c r="H585" s="1">
        <v>24024</v>
      </c>
      <c r="I585" s="1">
        <v>18483.760000000002</v>
      </c>
      <c r="J585" s="1">
        <v>13797.76</v>
      </c>
      <c r="K585" s="1">
        <v>15747.6</v>
      </c>
    </row>
    <row r="586" spans="1:11" ht="63" x14ac:dyDescent="0.25">
      <c r="A586" s="56"/>
      <c r="B586" s="76"/>
      <c r="C586" s="56"/>
      <c r="D586" s="8" t="s">
        <v>532</v>
      </c>
      <c r="E586" s="8" t="s">
        <v>659</v>
      </c>
      <c r="F586" s="9" t="s">
        <v>68</v>
      </c>
      <c r="G586" s="10">
        <v>556</v>
      </c>
      <c r="H586" s="10" t="s">
        <v>165</v>
      </c>
      <c r="I586" s="10" t="s">
        <v>165</v>
      </c>
      <c r="J586" s="10" t="s">
        <v>165</v>
      </c>
      <c r="K586" s="10" t="s">
        <v>165</v>
      </c>
    </row>
    <row r="587" spans="1:11" ht="63" x14ac:dyDescent="0.25">
      <c r="A587" s="56"/>
      <c r="B587" s="76"/>
      <c r="C587" s="56"/>
      <c r="D587" s="8" t="s">
        <v>1278</v>
      </c>
      <c r="E587" s="8" t="s">
        <v>1279</v>
      </c>
      <c r="F587" s="9" t="s">
        <v>68</v>
      </c>
      <c r="G587" s="10" t="s">
        <v>165</v>
      </c>
      <c r="H587" s="10">
        <v>497</v>
      </c>
      <c r="I587" s="10">
        <v>497</v>
      </c>
      <c r="J587" s="10">
        <v>497</v>
      </c>
      <c r="K587" s="10">
        <v>497</v>
      </c>
    </row>
    <row r="588" spans="1:11" ht="68.25" customHeight="1" x14ac:dyDescent="0.25">
      <c r="A588" s="56"/>
      <c r="B588" s="76"/>
      <c r="C588" s="56"/>
      <c r="D588" s="8" t="s">
        <v>601</v>
      </c>
      <c r="E588" s="8" t="s">
        <v>609</v>
      </c>
      <c r="F588" s="9" t="s">
        <v>109</v>
      </c>
      <c r="G588" s="1">
        <v>41211.56</v>
      </c>
      <c r="H588" s="1">
        <v>45227</v>
      </c>
      <c r="I588" s="1">
        <v>33562.230000000003</v>
      </c>
      <c r="J588" s="1">
        <v>24740.480000000003</v>
      </c>
      <c r="K588" s="1">
        <v>21015.67</v>
      </c>
    </row>
    <row r="589" spans="1:11" ht="94.5" x14ac:dyDescent="0.25">
      <c r="A589" s="56"/>
      <c r="B589" s="76"/>
      <c r="C589" s="56"/>
      <c r="D589" s="8" t="s">
        <v>532</v>
      </c>
      <c r="E589" s="8" t="s">
        <v>660</v>
      </c>
      <c r="F589" s="9" t="s">
        <v>68</v>
      </c>
      <c r="G589" s="10">
        <f>23+76</f>
        <v>99</v>
      </c>
      <c r="H589" s="10" t="s">
        <v>165</v>
      </c>
      <c r="I589" s="10" t="s">
        <v>165</v>
      </c>
      <c r="J589" s="10" t="s">
        <v>165</v>
      </c>
      <c r="K589" s="10" t="s">
        <v>165</v>
      </c>
    </row>
    <row r="590" spans="1:11" ht="94.5" customHeight="1" x14ac:dyDescent="0.25">
      <c r="A590" s="56"/>
      <c r="B590" s="76"/>
      <c r="C590" s="56"/>
      <c r="D590" s="8" t="s">
        <v>1462</v>
      </c>
      <c r="E590" s="64" t="s">
        <v>1463</v>
      </c>
      <c r="F590" s="55" t="s">
        <v>68</v>
      </c>
      <c r="G590" s="10" t="s">
        <v>165</v>
      </c>
      <c r="H590" s="10">
        <v>19</v>
      </c>
      <c r="I590" s="10">
        <v>19</v>
      </c>
      <c r="J590" s="10">
        <v>19</v>
      </c>
      <c r="K590" s="10">
        <v>19</v>
      </c>
    </row>
    <row r="591" spans="1:11" ht="31.5" x14ac:dyDescent="0.25">
      <c r="A591" s="56"/>
      <c r="B591" s="76"/>
      <c r="C591" s="56"/>
      <c r="D591" s="8" t="s">
        <v>1464</v>
      </c>
      <c r="E591" s="65"/>
      <c r="F591" s="57"/>
      <c r="G591" s="10" t="s">
        <v>165</v>
      </c>
      <c r="H591" s="10">
        <v>89</v>
      </c>
      <c r="I591" s="10">
        <v>89</v>
      </c>
      <c r="J591" s="10">
        <v>89</v>
      </c>
      <c r="K591" s="10">
        <v>89</v>
      </c>
    </row>
    <row r="592" spans="1:11" ht="63" x14ac:dyDescent="0.25">
      <c r="A592" s="56"/>
      <c r="B592" s="76"/>
      <c r="C592" s="56"/>
      <c r="D592" s="8" t="s">
        <v>601</v>
      </c>
      <c r="E592" s="8" t="s">
        <v>609</v>
      </c>
      <c r="F592" s="9" t="s">
        <v>109</v>
      </c>
      <c r="G592" s="1">
        <f>2047.58+6944.22</f>
        <v>8991.7999999999993</v>
      </c>
      <c r="H592" s="1">
        <f>1729+5012.76</f>
        <v>6741.76</v>
      </c>
      <c r="I592" s="1">
        <f>1474.21+6905.51</f>
        <v>8379.7200000000012</v>
      </c>
      <c r="J592" s="1">
        <f>1136.96+5325.76</f>
        <v>6462.72</v>
      </c>
      <c r="K592" s="1">
        <f>1133.35+5308.85</f>
        <v>6442.2000000000007</v>
      </c>
    </row>
    <row r="593" spans="1:11" ht="78.75" x14ac:dyDescent="0.25">
      <c r="A593" s="56"/>
      <c r="B593" s="76"/>
      <c r="C593" s="56"/>
      <c r="D593" s="8" t="s">
        <v>532</v>
      </c>
      <c r="E593" s="8" t="s">
        <v>661</v>
      </c>
      <c r="F593" s="9" t="s">
        <v>68</v>
      </c>
      <c r="G593" s="10">
        <v>8</v>
      </c>
      <c r="H593" s="10" t="s">
        <v>165</v>
      </c>
      <c r="I593" s="10" t="s">
        <v>165</v>
      </c>
      <c r="J593" s="10" t="s">
        <v>165</v>
      </c>
      <c r="K593" s="10" t="s">
        <v>165</v>
      </c>
    </row>
    <row r="594" spans="1:11" ht="78.75" x14ac:dyDescent="0.25">
      <c r="A594" s="56"/>
      <c r="B594" s="76"/>
      <c r="C594" s="56"/>
      <c r="D594" s="8" t="s">
        <v>1280</v>
      </c>
      <c r="E594" s="8" t="s">
        <v>1281</v>
      </c>
      <c r="F594" s="9" t="s">
        <v>68</v>
      </c>
      <c r="G594" s="10" t="s">
        <v>165</v>
      </c>
      <c r="H594" s="10">
        <v>23</v>
      </c>
      <c r="I594" s="10">
        <v>23</v>
      </c>
      <c r="J594" s="10">
        <v>23</v>
      </c>
      <c r="K594" s="10">
        <v>23</v>
      </c>
    </row>
    <row r="595" spans="1:11" ht="63" x14ac:dyDescent="0.25">
      <c r="A595" s="56"/>
      <c r="B595" s="76"/>
      <c r="C595" s="56"/>
      <c r="D595" s="8" t="s">
        <v>601</v>
      </c>
      <c r="E595" s="8" t="s">
        <v>609</v>
      </c>
      <c r="F595" s="9" t="s">
        <v>109</v>
      </c>
      <c r="G595" s="1">
        <v>712.23</v>
      </c>
      <c r="H595" s="1">
        <v>2093</v>
      </c>
      <c r="I595" s="1">
        <v>1784.5700000000002</v>
      </c>
      <c r="J595" s="1">
        <v>1376.3200000000002</v>
      </c>
      <c r="K595" s="1">
        <v>1371.95</v>
      </c>
    </row>
    <row r="596" spans="1:11" ht="63" x14ac:dyDescent="0.25">
      <c r="A596" s="56"/>
      <c r="B596" s="76"/>
      <c r="C596" s="56"/>
      <c r="D596" s="8" t="s">
        <v>532</v>
      </c>
      <c r="E596" s="8" t="s">
        <v>662</v>
      </c>
      <c r="F596" s="9" t="s">
        <v>68</v>
      </c>
      <c r="G596" s="10">
        <v>366</v>
      </c>
      <c r="H596" s="10" t="s">
        <v>165</v>
      </c>
      <c r="I596" s="10" t="s">
        <v>165</v>
      </c>
      <c r="J596" s="10" t="s">
        <v>165</v>
      </c>
      <c r="K596" s="10" t="s">
        <v>165</v>
      </c>
    </row>
    <row r="597" spans="1:11" ht="47.25" x14ac:dyDescent="0.25">
      <c r="A597" s="56"/>
      <c r="B597" s="76"/>
      <c r="C597" s="56"/>
      <c r="D597" s="8" t="s">
        <v>1290</v>
      </c>
      <c r="E597" s="8" t="s">
        <v>1291</v>
      </c>
      <c r="F597" s="9" t="s">
        <v>68</v>
      </c>
      <c r="G597" s="10" t="s">
        <v>165</v>
      </c>
      <c r="H597" s="10">
        <v>325</v>
      </c>
      <c r="I597" s="10">
        <v>325</v>
      </c>
      <c r="J597" s="10">
        <v>325</v>
      </c>
      <c r="K597" s="10">
        <v>325</v>
      </c>
    </row>
    <row r="598" spans="1:11" ht="63" x14ac:dyDescent="0.25">
      <c r="A598" s="56"/>
      <c r="B598" s="76"/>
      <c r="C598" s="56"/>
      <c r="D598" s="8" t="s">
        <v>601</v>
      </c>
      <c r="E598" s="8" t="s">
        <v>609</v>
      </c>
      <c r="F598" s="9" t="s">
        <v>109</v>
      </c>
      <c r="G598" s="1">
        <v>22940.190000000002</v>
      </c>
      <c r="H598" s="1">
        <v>29575</v>
      </c>
      <c r="I598" s="1">
        <v>20216.75</v>
      </c>
      <c r="J598" s="1">
        <v>16448</v>
      </c>
      <c r="K598" s="1">
        <v>14386.25</v>
      </c>
    </row>
    <row r="599" spans="1:11" ht="63" x14ac:dyDescent="0.25">
      <c r="A599" s="56"/>
      <c r="B599" s="76"/>
      <c r="C599" s="56"/>
      <c r="D599" s="8" t="s">
        <v>1292</v>
      </c>
      <c r="E599" s="8" t="s">
        <v>1293</v>
      </c>
      <c r="F599" s="9" t="s">
        <v>1231</v>
      </c>
      <c r="G599" s="1" t="s">
        <v>165</v>
      </c>
      <c r="H599" s="1">
        <v>56</v>
      </c>
      <c r="I599" s="1">
        <v>56</v>
      </c>
      <c r="J599" s="1">
        <v>56</v>
      </c>
      <c r="K599" s="1">
        <v>56</v>
      </c>
    </row>
    <row r="600" spans="1:11" ht="63" x14ac:dyDescent="0.25">
      <c r="A600" s="56"/>
      <c r="B600" s="76"/>
      <c r="C600" s="56"/>
      <c r="D600" s="8" t="s">
        <v>601</v>
      </c>
      <c r="E600" s="8" t="s">
        <v>15</v>
      </c>
      <c r="F600" s="9" t="s">
        <v>6</v>
      </c>
      <c r="G600" s="11">
        <v>0</v>
      </c>
      <c r="H600" s="1">
        <v>5096</v>
      </c>
      <c r="I600" s="1">
        <v>4345.04</v>
      </c>
      <c r="J600" s="1">
        <v>3351.04</v>
      </c>
      <c r="K600" s="1">
        <v>3340.4</v>
      </c>
    </row>
    <row r="601" spans="1:11" ht="58.5" customHeight="1" x14ac:dyDescent="0.25">
      <c r="A601" s="56"/>
      <c r="B601" s="76"/>
      <c r="C601" s="56"/>
      <c r="D601" s="8" t="s">
        <v>532</v>
      </c>
      <c r="E601" s="8" t="s">
        <v>663</v>
      </c>
      <c r="F601" s="9" t="s">
        <v>68</v>
      </c>
      <c r="G601" s="10">
        <f>141+76</f>
        <v>217</v>
      </c>
      <c r="H601" s="10" t="s">
        <v>165</v>
      </c>
      <c r="I601" s="10" t="s">
        <v>165</v>
      </c>
      <c r="J601" s="10" t="s">
        <v>165</v>
      </c>
      <c r="K601" s="10" t="s">
        <v>165</v>
      </c>
    </row>
    <row r="602" spans="1:11" ht="72.75" customHeight="1" x14ac:dyDescent="0.25">
      <c r="A602" s="56"/>
      <c r="B602" s="76"/>
      <c r="C602" s="56"/>
      <c r="D602" s="8" t="s">
        <v>1294</v>
      </c>
      <c r="E602" s="8" t="s">
        <v>1295</v>
      </c>
      <c r="F602" s="9" t="s">
        <v>68</v>
      </c>
      <c r="G602" s="10" t="s">
        <v>165</v>
      </c>
      <c r="H602" s="10">
        <v>190</v>
      </c>
      <c r="I602" s="10">
        <v>190</v>
      </c>
      <c r="J602" s="10">
        <v>190</v>
      </c>
      <c r="K602" s="10">
        <v>190</v>
      </c>
    </row>
    <row r="603" spans="1:11" ht="42.75" customHeight="1" x14ac:dyDescent="0.25">
      <c r="A603" s="56"/>
      <c r="B603" s="76"/>
      <c r="C603" s="56"/>
      <c r="D603" s="8" t="s">
        <v>705</v>
      </c>
      <c r="E603" s="64" t="s">
        <v>609</v>
      </c>
      <c r="F603" s="55" t="s">
        <v>109</v>
      </c>
      <c r="G603" s="1">
        <f>11729.12</f>
        <v>11729.12</v>
      </c>
      <c r="H603" s="1">
        <v>0</v>
      </c>
      <c r="I603" s="1">
        <v>0</v>
      </c>
      <c r="J603" s="1">
        <v>0</v>
      </c>
      <c r="K603" s="1">
        <v>0</v>
      </c>
    </row>
    <row r="604" spans="1:11" ht="21" customHeight="1" x14ac:dyDescent="0.25">
      <c r="A604" s="56"/>
      <c r="B604" s="76"/>
      <c r="C604" s="56"/>
      <c r="D604" s="8" t="s">
        <v>706</v>
      </c>
      <c r="E604" s="65"/>
      <c r="F604" s="57"/>
      <c r="G604" s="1">
        <v>3449.46</v>
      </c>
      <c r="H604" s="1">
        <v>16577.5</v>
      </c>
      <c r="I604" s="1">
        <v>12834.5</v>
      </c>
      <c r="J604" s="1">
        <v>9988.2999999999993</v>
      </c>
      <c r="K604" s="1">
        <v>9785</v>
      </c>
    </row>
    <row r="605" spans="1:11" ht="47.25" x14ac:dyDescent="0.25">
      <c r="A605" s="56"/>
      <c r="B605" s="76"/>
      <c r="C605" s="56"/>
      <c r="D605" s="8" t="s">
        <v>532</v>
      </c>
      <c r="E605" s="8" t="s">
        <v>664</v>
      </c>
      <c r="F605" s="9" t="s">
        <v>68</v>
      </c>
      <c r="G605" s="10">
        <f>55+28</f>
        <v>83</v>
      </c>
      <c r="H605" s="10" t="s">
        <v>165</v>
      </c>
      <c r="I605" s="10" t="s">
        <v>165</v>
      </c>
      <c r="J605" s="10" t="s">
        <v>165</v>
      </c>
      <c r="K605" s="10" t="s">
        <v>165</v>
      </c>
    </row>
    <row r="606" spans="1:11" ht="47.25" x14ac:dyDescent="0.25">
      <c r="A606" s="56"/>
      <c r="B606" s="76"/>
      <c r="C606" s="56"/>
      <c r="D606" s="8" t="s">
        <v>1296</v>
      </c>
      <c r="E606" s="8" t="s">
        <v>1297</v>
      </c>
      <c r="F606" s="9" t="s">
        <v>68</v>
      </c>
      <c r="G606" s="10" t="s">
        <v>165</v>
      </c>
      <c r="H606" s="10">
        <v>82</v>
      </c>
      <c r="I606" s="10">
        <v>82</v>
      </c>
      <c r="J606" s="10">
        <v>82</v>
      </c>
      <c r="K606" s="10">
        <v>82</v>
      </c>
    </row>
    <row r="607" spans="1:11" ht="63" x14ac:dyDescent="0.25">
      <c r="A607" s="56"/>
      <c r="B607" s="76"/>
      <c r="C607" s="56"/>
      <c r="D607" s="8" t="s">
        <v>601</v>
      </c>
      <c r="E607" s="8" t="s">
        <v>609</v>
      </c>
      <c r="F607" s="9" t="s">
        <v>109</v>
      </c>
      <c r="G607" s="1">
        <f>5074.6+2916.70203</f>
        <v>7991.3020300000007</v>
      </c>
      <c r="H607" s="1">
        <v>7462</v>
      </c>
      <c r="I607" s="1">
        <v>6362.38</v>
      </c>
      <c r="J607" s="1">
        <v>4906.88</v>
      </c>
      <c r="K607" s="1">
        <v>4891.3</v>
      </c>
    </row>
    <row r="608" spans="1:11" ht="78.75" x14ac:dyDescent="0.25">
      <c r="A608" s="56"/>
      <c r="B608" s="76"/>
      <c r="C608" s="56"/>
      <c r="D608" s="8" t="s">
        <v>532</v>
      </c>
      <c r="E608" s="8" t="s">
        <v>665</v>
      </c>
      <c r="F608" s="9" t="s">
        <v>68</v>
      </c>
      <c r="G608" s="10">
        <v>77</v>
      </c>
      <c r="H608" s="10" t="s">
        <v>165</v>
      </c>
      <c r="I608" s="10" t="s">
        <v>165</v>
      </c>
      <c r="J608" s="10" t="s">
        <v>165</v>
      </c>
      <c r="K608" s="10" t="s">
        <v>165</v>
      </c>
    </row>
    <row r="609" spans="1:11" ht="78.75" x14ac:dyDescent="0.25">
      <c r="A609" s="56"/>
      <c r="B609" s="76"/>
      <c r="C609" s="56"/>
      <c r="D609" s="8" t="s">
        <v>1300</v>
      </c>
      <c r="E609" s="8" t="s">
        <v>1301</v>
      </c>
      <c r="F609" s="9" t="s">
        <v>68</v>
      </c>
      <c r="G609" s="10" t="s">
        <v>165</v>
      </c>
      <c r="H609" s="10">
        <v>88</v>
      </c>
      <c r="I609" s="10">
        <v>88</v>
      </c>
      <c r="J609" s="10">
        <v>88</v>
      </c>
      <c r="K609" s="10">
        <v>88</v>
      </c>
    </row>
    <row r="610" spans="1:11" ht="63" x14ac:dyDescent="0.25">
      <c r="A610" s="56"/>
      <c r="B610" s="76"/>
      <c r="C610" s="56"/>
      <c r="D610" s="8" t="s">
        <v>601</v>
      </c>
      <c r="E610" s="8" t="s">
        <v>609</v>
      </c>
      <c r="F610" s="9" t="s">
        <v>109</v>
      </c>
      <c r="G610" s="1">
        <v>5855.11</v>
      </c>
      <c r="H610" s="1">
        <v>8008</v>
      </c>
      <c r="I610" s="1">
        <v>6827.92</v>
      </c>
      <c r="J610" s="1">
        <v>5265.92</v>
      </c>
      <c r="K610" s="1">
        <v>5249.2</v>
      </c>
    </row>
    <row r="611" spans="1:11" ht="94.5" x14ac:dyDescent="0.25">
      <c r="A611" s="56"/>
      <c r="B611" s="76"/>
      <c r="C611" s="56"/>
      <c r="D611" s="8" t="s">
        <v>532</v>
      </c>
      <c r="E611" s="8" t="s">
        <v>666</v>
      </c>
      <c r="F611" s="9" t="s">
        <v>68</v>
      </c>
      <c r="G611" s="10">
        <f>80+70</f>
        <v>150</v>
      </c>
      <c r="H611" s="10" t="s">
        <v>165</v>
      </c>
      <c r="I611" s="10" t="s">
        <v>165</v>
      </c>
      <c r="J611" s="10" t="s">
        <v>165</v>
      </c>
      <c r="K611" s="10" t="s">
        <v>165</v>
      </c>
    </row>
    <row r="612" spans="1:11" ht="110.25" x14ac:dyDescent="0.25">
      <c r="A612" s="56"/>
      <c r="B612" s="76"/>
      <c r="C612" s="56"/>
      <c r="D612" s="8" t="s">
        <v>1302</v>
      </c>
      <c r="E612" s="8" t="s">
        <v>1303</v>
      </c>
      <c r="F612" s="9" t="s">
        <v>68</v>
      </c>
      <c r="G612" s="10" t="s">
        <v>165</v>
      </c>
      <c r="H612" s="10">
        <v>88</v>
      </c>
      <c r="I612" s="10">
        <v>88</v>
      </c>
      <c r="J612" s="10">
        <v>88</v>
      </c>
      <c r="K612" s="10">
        <v>88</v>
      </c>
    </row>
    <row r="613" spans="1:11" ht="63" x14ac:dyDescent="0.25">
      <c r="A613" s="56"/>
      <c r="B613" s="76"/>
      <c r="C613" s="56"/>
      <c r="D613" s="8" t="s">
        <v>601</v>
      </c>
      <c r="E613" s="8" t="s">
        <v>609</v>
      </c>
      <c r="F613" s="9" t="s">
        <v>109</v>
      </c>
      <c r="G613" s="1">
        <f>6389.38+5020.97</f>
        <v>11410.35</v>
      </c>
      <c r="H613" s="1">
        <v>8008</v>
      </c>
      <c r="I613" s="1">
        <v>6827.92</v>
      </c>
      <c r="J613" s="1">
        <v>5265.92</v>
      </c>
      <c r="K613" s="1">
        <v>5249.2</v>
      </c>
    </row>
    <row r="614" spans="1:11" ht="47.25" x14ac:dyDescent="0.25">
      <c r="A614" s="56"/>
      <c r="B614" s="76"/>
      <c r="C614" s="56"/>
      <c r="D614" s="8" t="s">
        <v>532</v>
      </c>
      <c r="E614" s="8" t="s">
        <v>667</v>
      </c>
      <c r="F614" s="9" t="s">
        <v>68</v>
      </c>
      <c r="G614" s="10">
        <f>31+85</f>
        <v>116</v>
      </c>
      <c r="H614" s="10" t="s">
        <v>165</v>
      </c>
      <c r="I614" s="10" t="s">
        <v>165</v>
      </c>
      <c r="J614" s="10" t="s">
        <v>165</v>
      </c>
      <c r="K614" s="10" t="s">
        <v>165</v>
      </c>
    </row>
    <row r="615" spans="1:11" ht="31.5" x14ac:dyDescent="0.25">
      <c r="A615" s="56"/>
      <c r="B615" s="76"/>
      <c r="C615" s="56"/>
      <c r="D615" s="8" t="s">
        <v>1304</v>
      </c>
      <c r="E615" s="55" t="s">
        <v>1305</v>
      </c>
      <c r="F615" s="55" t="s">
        <v>68</v>
      </c>
      <c r="G615" s="10" t="s">
        <v>165</v>
      </c>
      <c r="H615" s="10">
        <v>85</v>
      </c>
      <c r="I615" s="10">
        <v>85</v>
      </c>
      <c r="J615" s="10">
        <v>85</v>
      </c>
      <c r="K615" s="10">
        <v>85</v>
      </c>
    </row>
    <row r="616" spans="1:11" ht="31.5" x14ac:dyDescent="0.25">
      <c r="A616" s="56"/>
      <c r="B616" s="76"/>
      <c r="C616" s="56"/>
      <c r="D616" s="8" t="s">
        <v>1306</v>
      </c>
      <c r="E616" s="56"/>
      <c r="F616" s="56"/>
      <c r="G616" s="10" t="s">
        <v>165</v>
      </c>
      <c r="H616" s="10">
        <v>28</v>
      </c>
      <c r="I616" s="10">
        <v>28</v>
      </c>
      <c r="J616" s="10">
        <v>28</v>
      </c>
      <c r="K616" s="10">
        <v>28</v>
      </c>
    </row>
    <row r="617" spans="1:11" ht="31.5" x14ac:dyDescent="0.25">
      <c r="A617" s="56"/>
      <c r="B617" s="76"/>
      <c r="C617" s="56"/>
      <c r="D617" s="8" t="s">
        <v>1307</v>
      </c>
      <c r="E617" s="57"/>
      <c r="F617" s="57"/>
      <c r="G617" s="10" t="s">
        <v>165</v>
      </c>
      <c r="H617" s="10">
        <v>102</v>
      </c>
      <c r="I617" s="10">
        <v>102</v>
      </c>
      <c r="J617" s="10">
        <v>102</v>
      </c>
      <c r="K617" s="10">
        <v>102</v>
      </c>
    </row>
    <row r="618" spans="1:11" ht="63" x14ac:dyDescent="0.25">
      <c r="A618" s="56"/>
      <c r="B618" s="76"/>
      <c r="C618" s="56"/>
      <c r="D618" s="8" t="s">
        <v>601</v>
      </c>
      <c r="E618" s="8" t="s">
        <v>609</v>
      </c>
      <c r="F618" s="9" t="s">
        <v>109</v>
      </c>
      <c r="G618" s="1">
        <f>2581.85+6745.43</f>
        <v>9327.2800000000007</v>
      </c>
      <c r="H618" s="1">
        <f>7735+2548+9282</f>
        <v>19565</v>
      </c>
      <c r="I618" s="1">
        <f>6595.15+2172.52+7914.18</f>
        <v>16681.849999999999</v>
      </c>
      <c r="J618" s="1">
        <f>5086.4+1675.52+6103.68</f>
        <v>12865.6</v>
      </c>
      <c r="K618" s="1">
        <f>5070.25+1670.2+6084.3</f>
        <v>12824.75</v>
      </c>
    </row>
    <row r="619" spans="1:11" ht="63" x14ac:dyDescent="0.25">
      <c r="A619" s="56"/>
      <c r="B619" s="76"/>
      <c r="C619" s="56"/>
      <c r="D619" s="8" t="s">
        <v>532</v>
      </c>
      <c r="E619" s="8" t="s">
        <v>668</v>
      </c>
      <c r="F619" s="9" t="s">
        <v>68</v>
      </c>
      <c r="G619" s="10">
        <f>60+85</f>
        <v>145</v>
      </c>
      <c r="H619" s="10" t="s">
        <v>165</v>
      </c>
      <c r="I619" s="10" t="s">
        <v>165</v>
      </c>
      <c r="J619" s="10" t="s">
        <v>165</v>
      </c>
      <c r="K619" s="10" t="s">
        <v>165</v>
      </c>
    </row>
    <row r="620" spans="1:11" ht="63" customHeight="1" x14ac:dyDescent="0.25">
      <c r="A620" s="56"/>
      <c r="B620" s="76"/>
      <c r="C620" s="56"/>
      <c r="D620" s="8" t="s">
        <v>1296</v>
      </c>
      <c r="E620" s="64" t="s">
        <v>1308</v>
      </c>
      <c r="F620" s="55" t="s">
        <v>68</v>
      </c>
      <c r="G620" s="10" t="s">
        <v>165</v>
      </c>
      <c r="H620" s="10">
        <v>70</v>
      </c>
      <c r="I620" s="10">
        <v>70</v>
      </c>
      <c r="J620" s="10">
        <v>70</v>
      </c>
      <c r="K620" s="10">
        <v>70</v>
      </c>
    </row>
    <row r="621" spans="1:11" ht="31.5" x14ac:dyDescent="0.25">
      <c r="A621" s="56"/>
      <c r="B621" s="76"/>
      <c r="C621" s="56"/>
      <c r="D621" s="8" t="s">
        <v>1309</v>
      </c>
      <c r="E621" s="65"/>
      <c r="F621" s="57"/>
      <c r="G621" s="10" t="s">
        <v>165</v>
      </c>
      <c r="H621" s="10">
        <f>88*2</f>
        <v>176</v>
      </c>
      <c r="I621" s="10">
        <f>88*2</f>
        <v>176</v>
      </c>
      <c r="J621" s="10">
        <f t="shared" ref="J621:K621" si="21">88*2</f>
        <v>176</v>
      </c>
      <c r="K621" s="10">
        <f t="shared" si="21"/>
        <v>176</v>
      </c>
    </row>
    <row r="622" spans="1:11" ht="63" x14ac:dyDescent="0.25">
      <c r="A622" s="56"/>
      <c r="B622" s="76"/>
      <c r="C622" s="56"/>
      <c r="D622" s="8" t="s">
        <v>601</v>
      </c>
      <c r="E622" s="8" t="s">
        <v>609</v>
      </c>
      <c r="F622" s="9" t="s">
        <v>109</v>
      </c>
      <c r="G622" s="1">
        <f>5430.65+6567.34</f>
        <v>11997.99</v>
      </c>
      <c r="H622" s="1">
        <f>6370+8008*2</f>
        <v>22386</v>
      </c>
      <c r="I622" s="1">
        <f>5431.3+6827.92*2</f>
        <v>19087.14</v>
      </c>
      <c r="J622" s="1">
        <f>4188.8+5265.92*2</f>
        <v>14720.64</v>
      </c>
      <c r="K622" s="1">
        <f>4175.5+4249.2*2</f>
        <v>12673.9</v>
      </c>
    </row>
    <row r="623" spans="1:11" ht="47.25" x14ac:dyDescent="0.25">
      <c r="A623" s="56"/>
      <c r="B623" s="76"/>
      <c r="C623" s="56"/>
      <c r="D623" s="8" t="s">
        <v>532</v>
      </c>
      <c r="E623" s="8" t="s">
        <v>669</v>
      </c>
      <c r="F623" s="9" t="s">
        <v>68</v>
      </c>
      <c r="G623" s="10">
        <f>73+97+21</f>
        <v>191</v>
      </c>
      <c r="H623" s="10" t="s">
        <v>165</v>
      </c>
      <c r="I623" s="10" t="s">
        <v>165</v>
      </c>
      <c r="J623" s="10" t="s">
        <v>165</v>
      </c>
      <c r="K623" s="10" t="s">
        <v>165</v>
      </c>
    </row>
    <row r="624" spans="1:11" ht="31.5" x14ac:dyDescent="0.25">
      <c r="A624" s="56"/>
      <c r="B624" s="76"/>
      <c r="C624" s="56"/>
      <c r="D624" s="8" t="s">
        <v>1310</v>
      </c>
      <c r="E624" s="64" t="s">
        <v>1311</v>
      </c>
      <c r="F624" s="55" t="s">
        <v>68</v>
      </c>
      <c r="G624" s="10" t="s">
        <v>165</v>
      </c>
      <c r="H624" s="10">
        <v>87</v>
      </c>
      <c r="I624" s="10">
        <v>87</v>
      </c>
      <c r="J624" s="10">
        <v>87</v>
      </c>
      <c r="K624" s="10">
        <v>87</v>
      </c>
    </row>
    <row r="625" spans="1:11" ht="31.5" x14ac:dyDescent="0.25">
      <c r="A625" s="56"/>
      <c r="B625" s="76"/>
      <c r="C625" s="56"/>
      <c r="D625" s="8" t="s">
        <v>1312</v>
      </c>
      <c r="E625" s="65"/>
      <c r="F625" s="57"/>
      <c r="G625" s="10" t="s">
        <v>165</v>
      </c>
      <c r="H625" s="10">
        <v>27</v>
      </c>
      <c r="I625" s="10">
        <v>27</v>
      </c>
      <c r="J625" s="10">
        <v>27</v>
      </c>
      <c r="K625" s="10">
        <v>27</v>
      </c>
    </row>
    <row r="626" spans="1:11" ht="63" x14ac:dyDescent="0.25">
      <c r="A626" s="56"/>
      <c r="B626" s="76"/>
      <c r="C626" s="56"/>
      <c r="D626" s="8" t="s">
        <v>601</v>
      </c>
      <c r="E626" s="8" t="s">
        <v>609</v>
      </c>
      <c r="F626" s="9" t="s">
        <v>109</v>
      </c>
      <c r="G626" s="1">
        <f>5619.59812+7870.6858+1575.21954</f>
        <v>15065.50346</v>
      </c>
      <c r="H626" s="1">
        <f>7917+2457</f>
        <v>10374</v>
      </c>
      <c r="I626" s="1">
        <f>6750.33+2094.93</f>
        <v>8845.26</v>
      </c>
      <c r="J626" s="1">
        <f>5206.08+1615.68</f>
        <v>6821.76</v>
      </c>
      <c r="K626" s="1">
        <f>5189.55+1610.55</f>
        <v>6800.1</v>
      </c>
    </row>
    <row r="627" spans="1:11" ht="47.25" x14ac:dyDescent="0.25">
      <c r="A627" s="56"/>
      <c r="B627" s="76"/>
      <c r="C627" s="56"/>
      <c r="D627" s="8" t="s">
        <v>532</v>
      </c>
      <c r="E627" s="8" t="s">
        <v>670</v>
      </c>
      <c r="F627" s="9" t="s">
        <v>68</v>
      </c>
      <c r="G627" s="10">
        <f>65+80</f>
        <v>145</v>
      </c>
      <c r="H627" s="10" t="s">
        <v>165</v>
      </c>
      <c r="I627" s="10" t="s">
        <v>165</v>
      </c>
      <c r="J627" s="10" t="s">
        <v>165</v>
      </c>
      <c r="K627" s="10" t="s">
        <v>165</v>
      </c>
    </row>
    <row r="628" spans="1:11" ht="31.5" x14ac:dyDescent="0.25">
      <c r="A628" s="56"/>
      <c r="B628" s="76"/>
      <c r="C628" s="56"/>
      <c r="D628" s="8" t="s">
        <v>1313</v>
      </c>
      <c r="E628" s="64" t="s">
        <v>1308</v>
      </c>
      <c r="F628" s="55" t="s">
        <v>68</v>
      </c>
      <c r="G628" s="10" t="s">
        <v>165</v>
      </c>
      <c r="H628" s="10">
        <v>69</v>
      </c>
      <c r="I628" s="10">
        <v>69</v>
      </c>
      <c r="J628" s="10">
        <v>69</v>
      </c>
      <c r="K628" s="10">
        <v>69</v>
      </c>
    </row>
    <row r="629" spans="1:11" ht="31.5" x14ac:dyDescent="0.25">
      <c r="A629" s="56"/>
      <c r="B629" s="76"/>
      <c r="C629" s="56"/>
      <c r="D629" s="8" t="s">
        <v>1314</v>
      </c>
      <c r="E629" s="65"/>
      <c r="F629" s="57"/>
      <c r="G629" s="10" t="s">
        <v>165</v>
      </c>
      <c r="H629" s="10">
        <v>99</v>
      </c>
      <c r="I629" s="10">
        <v>99</v>
      </c>
      <c r="J629" s="10">
        <v>99</v>
      </c>
      <c r="K629" s="10">
        <v>99</v>
      </c>
    </row>
    <row r="630" spans="1:11" ht="63" x14ac:dyDescent="0.25">
      <c r="A630" s="56"/>
      <c r="B630" s="76"/>
      <c r="C630" s="56"/>
      <c r="D630" s="8" t="s">
        <v>601</v>
      </c>
      <c r="E630" s="8" t="s">
        <v>609</v>
      </c>
      <c r="F630" s="9" t="s">
        <v>109</v>
      </c>
      <c r="G630" s="1">
        <f>4442.88+6122.18</f>
        <v>10565.060000000001</v>
      </c>
      <c r="H630" s="1">
        <f>6279+9009</f>
        <v>15288</v>
      </c>
      <c r="I630" s="1">
        <f>5353.71+7681.41</f>
        <v>13035.119999999999</v>
      </c>
      <c r="J630" s="1">
        <f>4128.96+5924.16</f>
        <v>10053.119999999999</v>
      </c>
      <c r="K630" s="1">
        <f>4115.85+5905.35</f>
        <v>10021.200000000001</v>
      </c>
    </row>
    <row r="631" spans="1:11" ht="78.75" x14ac:dyDescent="0.25">
      <c r="A631" s="56"/>
      <c r="B631" s="76"/>
      <c r="C631" s="56"/>
      <c r="D631" s="8" t="s">
        <v>532</v>
      </c>
      <c r="E631" s="8" t="s">
        <v>671</v>
      </c>
      <c r="F631" s="9" t="s">
        <v>68</v>
      </c>
      <c r="G631" s="10">
        <v>57</v>
      </c>
      <c r="H631" s="10" t="s">
        <v>165</v>
      </c>
      <c r="I631" s="10" t="s">
        <v>165</v>
      </c>
      <c r="J631" s="10" t="s">
        <v>165</v>
      </c>
      <c r="K631" s="10" t="s">
        <v>165</v>
      </c>
    </row>
    <row r="632" spans="1:11" ht="78.75" x14ac:dyDescent="0.25">
      <c r="A632" s="56"/>
      <c r="B632" s="76"/>
      <c r="C632" s="56"/>
      <c r="D632" s="8" t="s">
        <v>1315</v>
      </c>
      <c r="E632" s="8" t="s">
        <v>1316</v>
      </c>
      <c r="F632" s="9" t="s">
        <v>68</v>
      </c>
      <c r="G632" s="10" t="s">
        <v>165</v>
      </c>
      <c r="H632" s="10">
        <v>50</v>
      </c>
      <c r="I632" s="10">
        <v>50</v>
      </c>
      <c r="J632" s="10">
        <v>50</v>
      </c>
      <c r="K632" s="10">
        <v>50</v>
      </c>
    </row>
    <row r="633" spans="1:11" ht="63" x14ac:dyDescent="0.25">
      <c r="A633" s="56"/>
      <c r="B633" s="76"/>
      <c r="C633" s="56"/>
      <c r="D633" s="8" t="s">
        <v>601</v>
      </c>
      <c r="E633" s="8" t="s">
        <v>609</v>
      </c>
      <c r="F633" s="9" t="s">
        <v>109</v>
      </c>
      <c r="G633" s="1">
        <v>5163.58</v>
      </c>
      <c r="H633" s="1">
        <v>4550</v>
      </c>
      <c r="I633" s="1">
        <v>3879.5</v>
      </c>
      <c r="J633" s="1">
        <v>2992</v>
      </c>
      <c r="K633" s="1">
        <v>2982.5</v>
      </c>
    </row>
    <row r="634" spans="1:11" ht="47.25" x14ac:dyDescent="0.25">
      <c r="A634" s="56"/>
      <c r="B634" s="76"/>
      <c r="C634" s="56"/>
      <c r="D634" s="8" t="s">
        <v>532</v>
      </c>
      <c r="E634" s="8" t="s">
        <v>672</v>
      </c>
      <c r="F634" s="9" t="s">
        <v>68</v>
      </c>
      <c r="G634" s="10">
        <f>88+103</f>
        <v>191</v>
      </c>
      <c r="H634" s="10" t="s">
        <v>165</v>
      </c>
      <c r="I634" s="10" t="s">
        <v>165</v>
      </c>
      <c r="J634" s="10" t="s">
        <v>165</v>
      </c>
      <c r="K634" s="10" t="s">
        <v>165</v>
      </c>
    </row>
    <row r="635" spans="1:11" ht="31.5" x14ac:dyDescent="0.25">
      <c r="A635" s="56"/>
      <c r="B635" s="76"/>
      <c r="C635" s="56"/>
      <c r="D635" s="8" t="s">
        <v>1319</v>
      </c>
      <c r="E635" s="64" t="s">
        <v>1318</v>
      </c>
      <c r="F635" s="55" t="s">
        <v>68</v>
      </c>
      <c r="G635" s="10" t="s">
        <v>165</v>
      </c>
      <c r="H635" s="10">
        <v>160</v>
      </c>
      <c r="I635" s="10">
        <v>160</v>
      </c>
      <c r="J635" s="10">
        <v>160</v>
      </c>
      <c r="K635" s="10">
        <v>160</v>
      </c>
    </row>
    <row r="636" spans="1:11" ht="31.5" x14ac:dyDescent="0.25">
      <c r="A636" s="56"/>
      <c r="B636" s="76"/>
      <c r="C636" s="56"/>
      <c r="D636" s="8" t="s">
        <v>1317</v>
      </c>
      <c r="E636" s="65"/>
      <c r="F636" s="57"/>
      <c r="G636" s="10" t="s">
        <v>165</v>
      </c>
      <c r="H636" s="10">
        <v>113</v>
      </c>
      <c r="I636" s="10">
        <v>113</v>
      </c>
      <c r="J636" s="10">
        <v>113</v>
      </c>
      <c r="K636" s="10">
        <v>113</v>
      </c>
    </row>
    <row r="637" spans="1:11" ht="63" x14ac:dyDescent="0.25">
      <c r="A637" s="56"/>
      <c r="B637" s="76"/>
      <c r="C637" s="56"/>
      <c r="D637" s="8" t="s">
        <v>601</v>
      </c>
      <c r="E637" s="8" t="s">
        <v>609</v>
      </c>
      <c r="F637" s="9" t="s">
        <v>109</v>
      </c>
      <c r="G637" s="1">
        <f>8101.48+8258.75</f>
        <v>16360.23</v>
      </c>
      <c r="H637" s="1">
        <f>14560+10283</f>
        <v>24843</v>
      </c>
      <c r="I637" s="1">
        <f>12414.4+8767.67</f>
        <v>21182.07</v>
      </c>
      <c r="J637" s="1">
        <f>9574.4+6761.92</f>
        <v>16336.32</v>
      </c>
      <c r="K637" s="1">
        <f>7544+4740.45</f>
        <v>12284.45</v>
      </c>
    </row>
    <row r="638" spans="1:11" ht="63" x14ac:dyDescent="0.25">
      <c r="A638" s="56"/>
      <c r="B638" s="76"/>
      <c r="C638" s="56"/>
      <c r="D638" s="8" t="s">
        <v>532</v>
      </c>
      <c r="E638" s="8" t="s">
        <v>674</v>
      </c>
      <c r="F638" s="9" t="s">
        <v>68</v>
      </c>
      <c r="G638" s="10">
        <f>45+81</f>
        <v>126</v>
      </c>
      <c r="H638" s="10" t="s">
        <v>165</v>
      </c>
      <c r="I638" s="10" t="s">
        <v>165</v>
      </c>
      <c r="J638" s="10" t="s">
        <v>165</v>
      </c>
      <c r="K638" s="10" t="s">
        <v>165</v>
      </c>
    </row>
    <row r="639" spans="1:11" ht="31.5" x14ac:dyDescent="0.25">
      <c r="A639" s="56"/>
      <c r="B639" s="76"/>
      <c r="C639" s="56"/>
      <c r="D639" s="8" t="s">
        <v>1320</v>
      </c>
      <c r="E639" s="64" t="s">
        <v>1321</v>
      </c>
      <c r="F639" s="55" t="s">
        <v>68</v>
      </c>
      <c r="G639" s="10" t="s">
        <v>165</v>
      </c>
      <c r="H639" s="10">
        <v>80</v>
      </c>
      <c r="I639" s="10">
        <v>80</v>
      </c>
      <c r="J639" s="10">
        <v>80</v>
      </c>
      <c r="K639" s="10">
        <v>80</v>
      </c>
    </row>
    <row r="640" spans="1:11" ht="31.5" x14ac:dyDescent="0.25">
      <c r="A640" s="56"/>
      <c r="B640" s="76"/>
      <c r="C640" s="56"/>
      <c r="D640" s="8" t="s">
        <v>1322</v>
      </c>
      <c r="E640" s="65"/>
      <c r="F640" s="57"/>
      <c r="G640" s="10" t="s">
        <v>165</v>
      </c>
      <c r="H640" s="10">
        <v>53</v>
      </c>
      <c r="I640" s="10">
        <v>53</v>
      </c>
      <c r="J640" s="10">
        <v>53</v>
      </c>
      <c r="K640" s="10">
        <v>53</v>
      </c>
    </row>
    <row r="641" spans="1:11" ht="63" x14ac:dyDescent="0.25">
      <c r="A641" s="56"/>
      <c r="B641" s="76"/>
      <c r="C641" s="56"/>
      <c r="D641" s="8" t="s">
        <v>601</v>
      </c>
      <c r="E641" s="8" t="s">
        <v>609</v>
      </c>
      <c r="F641" s="9" t="s">
        <v>109</v>
      </c>
      <c r="G641" s="1">
        <f>4184.28+4184.28</f>
        <v>8368.56</v>
      </c>
      <c r="H641" s="1">
        <f>7280+4823</f>
        <v>12103</v>
      </c>
      <c r="I641" s="1">
        <f>6207.2+4112.27</f>
        <v>10319.470000000001</v>
      </c>
      <c r="J641" s="1">
        <f>4787.2+3171.52</f>
        <v>7958.7199999999993</v>
      </c>
      <c r="K641" s="1">
        <f>3772+3161.45</f>
        <v>6933.45</v>
      </c>
    </row>
    <row r="642" spans="1:11" ht="47.25" x14ac:dyDescent="0.25">
      <c r="A642" s="56"/>
      <c r="B642" s="76"/>
      <c r="C642" s="56"/>
      <c r="D642" s="8" t="s">
        <v>532</v>
      </c>
      <c r="E642" s="8" t="s">
        <v>673</v>
      </c>
      <c r="F642" s="55" t="s">
        <v>68</v>
      </c>
      <c r="G642" s="10">
        <v>72</v>
      </c>
      <c r="H642" s="10" t="s">
        <v>165</v>
      </c>
      <c r="I642" s="10" t="s">
        <v>165</v>
      </c>
      <c r="J642" s="10" t="s">
        <v>165</v>
      </c>
      <c r="K642" s="10" t="s">
        <v>165</v>
      </c>
    </row>
    <row r="643" spans="1:11" ht="47.25" x14ac:dyDescent="0.25">
      <c r="A643" s="56"/>
      <c r="B643" s="76"/>
      <c r="C643" s="56"/>
      <c r="D643" s="8" t="s">
        <v>1228</v>
      </c>
      <c r="E643" s="8" t="s">
        <v>1229</v>
      </c>
      <c r="F643" s="57"/>
      <c r="G643" s="10" t="s">
        <v>165</v>
      </c>
      <c r="H643" s="10">
        <v>87</v>
      </c>
      <c r="I643" s="10">
        <v>87</v>
      </c>
      <c r="J643" s="10">
        <v>87</v>
      </c>
      <c r="K643" s="10">
        <v>87</v>
      </c>
    </row>
    <row r="644" spans="1:11" ht="63" x14ac:dyDescent="0.25">
      <c r="A644" s="56"/>
      <c r="B644" s="76"/>
      <c r="C644" s="56"/>
      <c r="D644" s="8" t="s">
        <v>601</v>
      </c>
      <c r="E644" s="8" t="s">
        <v>609</v>
      </c>
      <c r="F644" s="9" t="s">
        <v>109</v>
      </c>
      <c r="G644" s="1">
        <v>6588.04</v>
      </c>
      <c r="H644" s="1">
        <v>7917</v>
      </c>
      <c r="I644" s="1">
        <v>6750.33</v>
      </c>
      <c r="J644" s="1">
        <v>5206.08</v>
      </c>
      <c r="K644" s="1">
        <v>5189.55</v>
      </c>
    </row>
    <row r="645" spans="1:11" ht="78.75" x14ac:dyDescent="0.25">
      <c r="A645" s="56"/>
      <c r="B645" s="76"/>
      <c r="C645" s="56"/>
      <c r="D645" s="8" t="s">
        <v>532</v>
      </c>
      <c r="E645" s="8" t="s">
        <v>675</v>
      </c>
      <c r="F645" s="9" t="s">
        <v>68</v>
      </c>
      <c r="G645" s="10">
        <f>84+45</f>
        <v>129</v>
      </c>
      <c r="H645" s="10" t="s">
        <v>165</v>
      </c>
      <c r="I645" s="10" t="s">
        <v>165</v>
      </c>
      <c r="J645" s="10" t="s">
        <v>165</v>
      </c>
      <c r="K645" s="10" t="s">
        <v>165</v>
      </c>
    </row>
    <row r="646" spans="1:11" ht="94.5" x14ac:dyDescent="0.25">
      <c r="A646" s="56"/>
      <c r="B646" s="76"/>
      <c r="C646" s="56"/>
      <c r="D646" s="8" t="s">
        <v>1230</v>
      </c>
      <c r="E646" s="8" t="s">
        <v>1232</v>
      </c>
      <c r="F646" s="9" t="s">
        <v>68</v>
      </c>
      <c r="G646" s="10" t="s">
        <v>165</v>
      </c>
      <c r="H646" s="10">
        <v>94</v>
      </c>
      <c r="I646" s="10">
        <v>94</v>
      </c>
      <c r="J646" s="10">
        <v>94</v>
      </c>
      <c r="K646" s="10">
        <v>94</v>
      </c>
    </row>
    <row r="647" spans="1:11" ht="94.5" x14ac:dyDescent="0.25">
      <c r="A647" s="56"/>
      <c r="B647" s="76"/>
      <c r="C647" s="56"/>
      <c r="D647" s="8" t="s">
        <v>1233</v>
      </c>
      <c r="E647" s="8" t="s">
        <v>1232</v>
      </c>
      <c r="F647" s="9" t="s">
        <v>68</v>
      </c>
      <c r="G647" s="10" t="s">
        <v>165</v>
      </c>
      <c r="H647" s="10">
        <v>42</v>
      </c>
      <c r="I647" s="10">
        <v>42</v>
      </c>
      <c r="J647" s="10">
        <v>42</v>
      </c>
      <c r="K647" s="10">
        <v>42</v>
      </c>
    </row>
    <row r="648" spans="1:11" ht="63" x14ac:dyDescent="0.25">
      <c r="A648" s="56"/>
      <c r="B648" s="76"/>
      <c r="C648" s="56"/>
      <c r="D648" s="8" t="s">
        <v>601</v>
      </c>
      <c r="E648" s="8" t="s">
        <v>609</v>
      </c>
      <c r="F648" s="9" t="s">
        <v>109</v>
      </c>
      <c r="G648" s="1">
        <f>7656.32+4184.28</f>
        <v>11840.599999999999</v>
      </c>
      <c r="H648" s="1">
        <f>8554+3822</f>
        <v>12376</v>
      </c>
      <c r="I648" s="1">
        <f>7293.46+3258.78</f>
        <v>10552.24</v>
      </c>
      <c r="J648" s="1">
        <f>5624.96+2513.28</f>
        <v>8138.24</v>
      </c>
      <c r="K648" s="1">
        <f>5607.1+2505.3</f>
        <v>8112.4000000000005</v>
      </c>
    </row>
    <row r="649" spans="1:11" ht="47.25" x14ac:dyDescent="0.25">
      <c r="A649" s="56"/>
      <c r="B649" s="76"/>
      <c r="C649" s="56"/>
      <c r="D649" s="8" t="s">
        <v>532</v>
      </c>
      <c r="E649" s="8" t="s">
        <v>994</v>
      </c>
      <c r="F649" s="9" t="s">
        <v>68</v>
      </c>
      <c r="G649" s="10">
        <v>28</v>
      </c>
      <c r="H649" s="10" t="s">
        <v>165</v>
      </c>
      <c r="I649" s="10" t="s">
        <v>165</v>
      </c>
      <c r="J649" s="10" t="s">
        <v>165</v>
      </c>
      <c r="K649" s="10" t="s">
        <v>165</v>
      </c>
    </row>
    <row r="650" spans="1:11" ht="47.25" x14ac:dyDescent="0.25">
      <c r="A650" s="56"/>
      <c r="B650" s="76"/>
      <c r="C650" s="56"/>
      <c r="D650" s="8" t="s">
        <v>1234</v>
      </c>
      <c r="E650" s="8" t="s">
        <v>1235</v>
      </c>
      <c r="F650" s="9" t="s">
        <v>68</v>
      </c>
      <c r="G650" s="10" t="s">
        <v>165</v>
      </c>
      <c r="H650" s="10">
        <v>12</v>
      </c>
      <c r="I650" s="10">
        <v>12</v>
      </c>
      <c r="J650" s="10">
        <v>12</v>
      </c>
      <c r="K650" s="10">
        <v>12</v>
      </c>
    </row>
    <row r="651" spans="1:11" ht="63" x14ac:dyDescent="0.25">
      <c r="A651" s="56"/>
      <c r="B651" s="76"/>
      <c r="C651" s="56"/>
      <c r="D651" s="8" t="s">
        <v>601</v>
      </c>
      <c r="E651" s="8" t="s">
        <v>609</v>
      </c>
      <c r="F651" s="9" t="s">
        <v>109</v>
      </c>
      <c r="G651" s="1">
        <v>2492.7399999999998</v>
      </c>
      <c r="H651" s="1">
        <v>1294.1399999999999</v>
      </c>
      <c r="I651" s="1">
        <v>931.08</v>
      </c>
      <c r="J651" s="1">
        <v>718.08</v>
      </c>
      <c r="K651" s="1">
        <v>715.8</v>
      </c>
    </row>
    <row r="652" spans="1:11" ht="31.5" x14ac:dyDescent="0.25">
      <c r="A652" s="56"/>
      <c r="B652" s="76"/>
      <c r="C652" s="56"/>
      <c r="D652" s="8" t="s">
        <v>532</v>
      </c>
      <c r="E652" s="8" t="s">
        <v>676</v>
      </c>
      <c r="F652" s="9" t="s">
        <v>68</v>
      </c>
      <c r="G652" s="10">
        <f>143+28</f>
        <v>171</v>
      </c>
      <c r="H652" s="10" t="s">
        <v>165</v>
      </c>
      <c r="I652" s="10" t="s">
        <v>165</v>
      </c>
      <c r="J652" s="10" t="s">
        <v>165</v>
      </c>
      <c r="K652" s="10" t="s">
        <v>165</v>
      </c>
    </row>
    <row r="653" spans="1:11" ht="31.5" x14ac:dyDescent="0.25">
      <c r="A653" s="56"/>
      <c r="B653" s="76"/>
      <c r="C653" s="56"/>
      <c r="D653" s="8" t="s">
        <v>1236</v>
      </c>
      <c r="E653" s="64" t="s">
        <v>1238</v>
      </c>
      <c r="F653" s="55" t="s">
        <v>68</v>
      </c>
      <c r="G653" s="10" t="s">
        <v>165</v>
      </c>
      <c r="H653" s="10">
        <v>161</v>
      </c>
      <c r="I653" s="10">
        <v>161</v>
      </c>
      <c r="J653" s="10">
        <v>161</v>
      </c>
      <c r="K653" s="10">
        <v>161</v>
      </c>
    </row>
    <row r="654" spans="1:11" ht="31.5" x14ac:dyDescent="0.25">
      <c r="A654" s="56"/>
      <c r="B654" s="76"/>
      <c r="C654" s="56"/>
      <c r="D654" s="8" t="s">
        <v>1237</v>
      </c>
      <c r="E654" s="65"/>
      <c r="F654" s="57"/>
      <c r="G654" s="10" t="s">
        <v>165</v>
      </c>
      <c r="H654" s="10">
        <v>44</v>
      </c>
      <c r="I654" s="10">
        <v>44</v>
      </c>
      <c r="J654" s="10">
        <v>44</v>
      </c>
      <c r="K654" s="10">
        <v>44</v>
      </c>
    </row>
    <row r="655" spans="1:11" ht="63" x14ac:dyDescent="0.25">
      <c r="A655" s="56"/>
      <c r="B655" s="76"/>
      <c r="C655" s="56"/>
      <c r="D655" s="8" t="s">
        <v>601</v>
      </c>
      <c r="E655" s="8" t="s">
        <v>609</v>
      </c>
      <c r="F655" s="9" t="s">
        <v>109</v>
      </c>
      <c r="G655" s="1">
        <f>10997.99+2126.30722</f>
        <v>13124.29722</v>
      </c>
      <c r="H655" s="1">
        <f>14651+4004</f>
        <v>18655</v>
      </c>
      <c r="I655" s="1">
        <f>12491.99+3413.96</f>
        <v>15905.95</v>
      </c>
      <c r="J655" s="1">
        <f>9634.24+2632.96</f>
        <v>12267.2</v>
      </c>
      <c r="K655" s="1">
        <f>9603.65+2624.6</f>
        <v>12228.25</v>
      </c>
    </row>
    <row r="656" spans="1:11" ht="63" x14ac:dyDescent="0.25">
      <c r="A656" s="56"/>
      <c r="B656" s="76"/>
      <c r="C656" s="56"/>
      <c r="D656" s="8" t="s">
        <v>532</v>
      </c>
      <c r="E656" s="8" t="s">
        <v>677</v>
      </c>
      <c r="F656" s="9" t="s">
        <v>68</v>
      </c>
      <c r="G656" s="10">
        <f>32+45</f>
        <v>77</v>
      </c>
      <c r="H656" s="10" t="s">
        <v>165</v>
      </c>
      <c r="I656" s="10" t="s">
        <v>165</v>
      </c>
      <c r="J656" s="10" t="s">
        <v>165</v>
      </c>
      <c r="K656" s="10" t="s">
        <v>165</v>
      </c>
    </row>
    <row r="657" spans="1:11" ht="31.5" x14ac:dyDescent="0.25">
      <c r="A657" s="56"/>
      <c r="B657" s="76"/>
      <c r="C657" s="56"/>
      <c r="D657" s="8" t="s">
        <v>1323</v>
      </c>
      <c r="E657" s="64" t="s">
        <v>1324</v>
      </c>
      <c r="F657" s="55" t="s">
        <v>68</v>
      </c>
      <c r="G657" s="10" t="s">
        <v>165</v>
      </c>
      <c r="H657" s="10">
        <v>53</v>
      </c>
      <c r="I657" s="10">
        <v>53</v>
      </c>
      <c r="J657" s="10">
        <v>53</v>
      </c>
      <c r="K657" s="10">
        <v>53</v>
      </c>
    </row>
    <row r="658" spans="1:11" ht="31.5" x14ac:dyDescent="0.25">
      <c r="A658" s="56"/>
      <c r="B658" s="76"/>
      <c r="C658" s="56"/>
      <c r="D658" s="8" t="s">
        <v>1325</v>
      </c>
      <c r="E658" s="65"/>
      <c r="F658" s="57"/>
      <c r="G658" s="10" t="s">
        <v>165</v>
      </c>
      <c r="H658" s="10">
        <v>49</v>
      </c>
      <c r="I658" s="10">
        <v>49</v>
      </c>
      <c r="J658" s="10">
        <v>49</v>
      </c>
      <c r="K658" s="10">
        <v>49</v>
      </c>
    </row>
    <row r="659" spans="1:11" ht="63" x14ac:dyDescent="0.25">
      <c r="A659" s="56"/>
      <c r="B659" s="76"/>
      <c r="C659" s="56"/>
      <c r="D659" s="8" t="s">
        <v>601</v>
      </c>
      <c r="E659" s="8" t="s">
        <v>609</v>
      </c>
      <c r="F659" s="9" t="s">
        <v>109</v>
      </c>
      <c r="G659" s="1">
        <f>2080.68586+3520.29</f>
        <v>5600.9758600000005</v>
      </c>
      <c r="H659" s="1">
        <f>4823+4459</f>
        <v>9282</v>
      </c>
      <c r="I659" s="1">
        <f>4112.27+3801.91</f>
        <v>7914.18</v>
      </c>
      <c r="J659" s="1">
        <f>3171.52+2932.16</f>
        <v>6103.68</v>
      </c>
      <c r="K659" s="1">
        <f>3161.45+2922.85</f>
        <v>6084.2999999999993</v>
      </c>
    </row>
    <row r="660" spans="1:11" ht="31.5" x14ac:dyDescent="0.25">
      <c r="A660" s="56"/>
      <c r="B660" s="76"/>
      <c r="C660" s="56"/>
      <c r="D660" s="8" t="s">
        <v>1326</v>
      </c>
      <c r="E660" s="8" t="s">
        <v>678</v>
      </c>
      <c r="F660" s="9" t="s">
        <v>68</v>
      </c>
      <c r="G660" s="10">
        <v>20</v>
      </c>
      <c r="H660" s="10">
        <v>40</v>
      </c>
      <c r="I660" s="10">
        <v>40</v>
      </c>
      <c r="J660" s="10">
        <v>40</v>
      </c>
      <c r="K660" s="10">
        <v>40</v>
      </c>
    </row>
    <row r="661" spans="1:11" ht="63" x14ac:dyDescent="0.25">
      <c r="A661" s="56"/>
      <c r="B661" s="76"/>
      <c r="C661" s="56"/>
      <c r="D661" s="8" t="s">
        <v>601</v>
      </c>
      <c r="E661" s="8" t="s">
        <v>609</v>
      </c>
      <c r="F661" s="9" t="s">
        <v>109</v>
      </c>
      <c r="G661" s="1">
        <v>1869.62</v>
      </c>
      <c r="H661" s="1">
        <v>3640</v>
      </c>
      <c r="I661" s="1">
        <v>3103.6000000000004</v>
      </c>
      <c r="J661" s="1">
        <v>2393.6000000000004</v>
      </c>
      <c r="K661" s="1">
        <v>2386</v>
      </c>
    </row>
    <row r="662" spans="1:11" ht="63" x14ac:dyDescent="0.25">
      <c r="A662" s="56"/>
      <c r="B662" s="76"/>
      <c r="C662" s="56"/>
      <c r="D662" s="8" t="s">
        <v>532</v>
      </c>
      <c r="E662" s="8" t="s">
        <v>679</v>
      </c>
      <c r="F662" s="9" t="s">
        <v>68</v>
      </c>
      <c r="G662" s="10">
        <v>41</v>
      </c>
      <c r="H662" s="10" t="s">
        <v>165</v>
      </c>
      <c r="I662" s="10" t="s">
        <v>165</v>
      </c>
      <c r="J662" s="10" t="s">
        <v>165</v>
      </c>
      <c r="K662" s="10" t="s">
        <v>165</v>
      </c>
    </row>
    <row r="663" spans="1:11" ht="63" x14ac:dyDescent="0.25">
      <c r="A663" s="56"/>
      <c r="B663" s="76"/>
      <c r="C663" s="56"/>
      <c r="D663" s="8" t="s">
        <v>1327</v>
      </c>
      <c r="E663" s="8" t="s">
        <v>1328</v>
      </c>
      <c r="F663" s="9" t="s">
        <v>68</v>
      </c>
      <c r="G663" s="10" t="s">
        <v>165</v>
      </c>
      <c r="H663" s="10">
        <v>51</v>
      </c>
      <c r="I663" s="10">
        <v>51</v>
      </c>
      <c r="J663" s="10">
        <v>51</v>
      </c>
      <c r="K663" s="10">
        <v>51</v>
      </c>
    </row>
    <row r="664" spans="1:11" ht="63" x14ac:dyDescent="0.25">
      <c r="A664" s="56"/>
      <c r="B664" s="76"/>
      <c r="C664" s="56"/>
      <c r="D664" s="8" t="s">
        <v>601</v>
      </c>
      <c r="E664" s="8" t="s">
        <v>609</v>
      </c>
      <c r="F664" s="9" t="s">
        <v>109</v>
      </c>
      <c r="G664" s="1">
        <v>3739.24</v>
      </c>
      <c r="H664" s="1">
        <v>4641</v>
      </c>
      <c r="I664" s="1">
        <v>3957.09</v>
      </c>
      <c r="J664" s="1">
        <v>3051.84</v>
      </c>
      <c r="K664" s="1">
        <v>3042.15</v>
      </c>
    </row>
    <row r="665" spans="1:11" ht="47.25" x14ac:dyDescent="0.25">
      <c r="A665" s="56"/>
      <c r="B665" s="76"/>
      <c r="C665" s="56"/>
      <c r="D665" s="8" t="s">
        <v>532</v>
      </c>
      <c r="E665" s="8" t="s">
        <v>680</v>
      </c>
      <c r="F665" s="9" t="s">
        <v>68</v>
      </c>
      <c r="G665" s="10">
        <f>23+9</f>
        <v>32</v>
      </c>
      <c r="H665" s="10" t="s">
        <v>165</v>
      </c>
      <c r="I665" s="10" t="s">
        <v>165</v>
      </c>
      <c r="J665" s="10" t="s">
        <v>165</v>
      </c>
      <c r="K665" s="10" t="s">
        <v>165</v>
      </c>
    </row>
    <row r="666" spans="1:11" ht="31.5" x14ac:dyDescent="0.25">
      <c r="A666" s="56"/>
      <c r="B666" s="76"/>
      <c r="C666" s="56"/>
      <c r="D666" s="8" t="s">
        <v>1329</v>
      </c>
      <c r="E666" s="64" t="s">
        <v>1330</v>
      </c>
      <c r="F666" s="55" t="s">
        <v>68</v>
      </c>
      <c r="G666" s="10" t="s">
        <v>165</v>
      </c>
      <c r="H666" s="10">
        <v>19</v>
      </c>
      <c r="I666" s="10">
        <v>19</v>
      </c>
      <c r="J666" s="10">
        <v>19</v>
      </c>
      <c r="K666" s="10">
        <v>19</v>
      </c>
    </row>
    <row r="667" spans="1:11" ht="31.5" x14ac:dyDescent="0.25">
      <c r="A667" s="56"/>
      <c r="B667" s="76"/>
      <c r="C667" s="56"/>
      <c r="D667" s="8" t="s">
        <v>1331</v>
      </c>
      <c r="E667" s="65"/>
      <c r="F667" s="57"/>
      <c r="G667" s="10" t="s">
        <v>165</v>
      </c>
      <c r="H667" s="10">
        <v>8</v>
      </c>
      <c r="I667" s="10">
        <v>8</v>
      </c>
      <c r="J667" s="10">
        <v>8</v>
      </c>
      <c r="K667" s="10">
        <v>8</v>
      </c>
    </row>
    <row r="668" spans="1:11" ht="63" x14ac:dyDescent="0.25">
      <c r="A668" s="56"/>
      <c r="B668" s="76"/>
      <c r="C668" s="56"/>
      <c r="D668" s="8" t="s">
        <v>601</v>
      </c>
      <c r="E668" s="8" t="s">
        <v>609</v>
      </c>
      <c r="F668" s="9" t="s">
        <v>109</v>
      </c>
      <c r="G668" s="1">
        <f>2136.69+801.21</f>
        <v>2937.9</v>
      </c>
      <c r="H668" s="1">
        <f>1729+728</f>
        <v>2457</v>
      </c>
      <c r="I668" s="1">
        <f>1474.21+620.72</f>
        <v>2094.9300000000003</v>
      </c>
      <c r="J668" s="1">
        <f>1136.96+478.72</f>
        <v>1615.68</v>
      </c>
      <c r="K668" s="1">
        <f>1133.35+477.2</f>
        <v>1610.55</v>
      </c>
    </row>
    <row r="669" spans="1:11" ht="63" x14ac:dyDescent="0.25">
      <c r="A669" s="56"/>
      <c r="B669" s="76"/>
      <c r="C669" s="56"/>
      <c r="D669" s="8" t="s">
        <v>532</v>
      </c>
      <c r="E669" s="8" t="s">
        <v>681</v>
      </c>
      <c r="F669" s="9" t="s">
        <v>68</v>
      </c>
      <c r="G669" s="10">
        <v>137</v>
      </c>
      <c r="H669" s="10" t="s">
        <v>165</v>
      </c>
      <c r="I669" s="10" t="s">
        <v>165</v>
      </c>
      <c r="J669" s="10" t="s">
        <v>165</v>
      </c>
      <c r="K669" s="10" t="s">
        <v>165</v>
      </c>
    </row>
    <row r="670" spans="1:11" ht="63" x14ac:dyDescent="0.25">
      <c r="A670" s="56"/>
      <c r="B670" s="76"/>
      <c r="C670" s="56"/>
      <c r="D670" s="8" t="s">
        <v>1332</v>
      </c>
      <c r="E670" s="8" t="s">
        <v>1333</v>
      </c>
      <c r="F670" s="9" t="s">
        <v>68</v>
      </c>
      <c r="G670" s="10" t="s">
        <v>165</v>
      </c>
      <c r="H670" s="10">
        <v>165</v>
      </c>
      <c r="I670" s="10">
        <v>165</v>
      </c>
      <c r="J670" s="10">
        <v>165</v>
      </c>
      <c r="K670" s="10">
        <v>165</v>
      </c>
    </row>
    <row r="671" spans="1:11" ht="63" x14ac:dyDescent="0.25">
      <c r="A671" s="56"/>
      <c r="B671" s="76"/>
      <c r="C671" s="56"/>
      <c r="D671" s="8" t="s">
        <v>601</v>
      </c>
      <c r="E671" s="8" t="s">
        <v>609</v>
      </c>
      <c r="F671" s="9" t="s">
        <v>109</v>
      </c>
      <c r="G671" s="1">
        <v>9196.77</v>
      </c>
      <c r="H671" s="1">
        <v>12897.55</v>
      </c>
      <c r="I671" s="1">
        <v>12802.35</v>
      </c>
      <c r="J671" s="1">
        <v>9873.6</v>
      </c>
      <c r="K671" s="1">
        <v>8842.25</v>
      </c>
    </row>
    <row r="672" spans="1:11" ht="31.5" x14ac:dyDescent="0.25">
      <c r="A672" s="56"/>
      <c r="B672" s="76"/>
      <c r="C672" s="56"/>
      <c r="D672" s="8" t="s">
        <v>532</v>
      </c>
      <c r="E672" s="8" t="s">
        <v>682</v>
      </c>
      <c r="F672" s="9" t="s">
        <v>68</v>
      </c>
      <c r="G672" s="10">
        <f>50+14</f>
        <v>64</v>
      </c>
      <c r="H672" s="10" t="s">
        <v>165</v>
      </c>
      <c r="I672" s="10" t="s">
        <v>165</v>
      </c>
      <c r="J672" s="10" t="s">
        <v>165</v>
      </c>
      <c r="K672" s="10" t="s">
        <v>165</v>
      </c>
    </row>
    <row r="673" spans="1:11" ht="31.5" x14ac:dyDescent="0.25">
      <c r="A673" s="56"/>
      <c r="B673" s="76"/>
      <c r="C673" s="56"/>
      <c r="D673" s="8" t="s">
        <v>1334</v>
      </c>
      <c r="E673" s="64" t="s">
        <v>1336</v>
      </c>
      <c r="F673" s="55" t="s">
        <v>68</v>
      </c>
      <c r="G673" s="10" t="s">
        <v>165</v>
      </c>
      <c r="H673" s="10">
        <v>65</v>
      </c>
      <c r="I673" s="10">
        <v>65</v>
      </c>
      <c r="J673" s="10">
        <v>65</v>
      </c>
      <c r="K673" s="10">
        <v>65</v>
      </c>
    </row>
    <row r="674" spans="1:11" ht="31.5" x14ac:dyDescent="0.25">
      <c r="A674" s="56"/>
      <c r="B674" s="76"/>
      <c r="C674" s="56"/>
      <c r="D674" s="8" t="s">
        <v>1335</v>
      </c>
      <c r="E674" s="65"/>
      <c r="F674" s="57"/>
      <c r="G674" s="10" t="s">
        <v>165</v>
      </c>
      <c r="H674" s="10">
        <v>10</v>
      </c>
      <c r="I674" s="10">
        <v>10</v>
      </c>
      <c r="J674" s="10">
        <v>10</v>
      </c>
      <c r="K674" s="10">
        <v>10</v>
      </c>
    </row>
    <row r="675" spans="1:11" ht="63" x14ac:dyDescent="0.25">
      <c r="A675" s="56"/>
      <c r="B675" s="76"/>
      <c r="C675" s="56"/>
      <c r="D675" s="8" t="s">
        <v>601</v>
      </c>
      <c r="E675" s="8" t="s">
        <v>609</v>
      </c>
      <c r="F675" s="9" t="s">
        <v>109</v>
      </c>
      <c r="G675" s="1">
        <f>4451.35+3451.35</f>
        <v>7902.7000000000007</v>
      </c>
      <c r="H675" s="1">
        <f>5915+910</f>
        <v>6825</v>
      </c>
      <c r="I675" s="1">
        <f>5043.35+775.9</f>
        <v>5819.25</v>
      </c>
      <c r="J675" s="1">
        <f>3889.6+598.4</f>
        <v>4488</v>
      </c>
      <c r="K675" s="1">
        <f>3877.25+596.5</f>
        <v>4473.75</v>
      </c>
    </row>
    <row r="676" spans="1:11" ht="31.5" x14ac:dyDescent="0.25">
      <c r="A676" s="56"/>
      <c r="B676" s="76"/>
      <c r="C676" s="56"/>
      <c r="D676" s="8" t="s">
        <v>532</v>
      </c>
      <c r="E676" s="8" t="s">
        <v>683</v>
      </c>
      <c r="F676" s="9" t="s">
        <v>68</v>
      </c>
      <c r="G676" s="10">
        <f>21+15</f>
        <v>36</v>
      </c>
      <c r="H676" s="10" t="s">
        <v>165</v>
      </c>
      <c r="I676" s="10" t="s">
        <v>165</v>
      </c>
      <c r="J676" s="10" t="s">
        <v>165</v>
      </c>
      <c r="K676" s="10" t="s">
        <v>165</v>
      </c>
    </row>
    <row r="677" spans="1:11" ht="31.5" x14ac:dyDescent="0.25">
      <c r="A677" s="56"/>
      <c r="B677" s="76"/>
      <c r="C677" s="56"/>
      <c r="D677" s="8" t="s">
        <v>1337</v>
      </c>
      <c r="E677" s="64" t="s">
        <v>1339</v>
      </c>
      <c r="F677" s="55" t="s">
        <v>68</v>
      </c>
      <c r="G677" s="10" t="s">
        <v>165</v>
      </c>
      <c r="H677" s="10">
        <v>21</v>
      </c>
      <c r="I677" s="10">
        <v>21</v>
      </c>
      <c r="J677" s="10">
        <v>21</v>
      </c>
      <c r="K677" s="10">
        <v>21</v>
      </c>
    </row>
    <row r="678" spans="1:11" ht="31.5" x14ac:dyDescent="0.25">
      <c r="A678" s="56"/>
      <c r="B678" s="76"/>
      <c r="C678" s="56"/>
      <c r="D678" s="8" t="s">
        <v>1338</v>
      </c>
      <c r="E678" s="65"/>
      <c r="F678" s="57"/>
      <c r="G678" s="10" t="s">
        <v>165</v>
      </c>
      <c r="H678" s="10">
        <v>17</v>
      </c>
      <c r="I678" s="10">
        <v>17</v>
      </c>
      <c r="J678" s="10">
        <v>17</v>
      </c>
      <c r="K678" s="10">
        <v>17</v>
      </c>
    </row>
    <row r="679" spans="1:11" ht="63" x14ac:dyDescent="0.25">
      <c r="A679" s="56"/>
      <c r="B679" s="76"/>
      <c r="C679" s="56"/>
      <c r="D679" s="8" t="s">
        <v>601</v>
      </c>
      <c r="E679" s="8" t="s">
        <v>609</v>
      </c>
      <c r="F679" s="9" t="s">
        <v>109</v>
      </c>
      <c r="G679" s="1">
        <f>1869.62+1424.46</f>
        <v>3294.08</v>
      </c>
      <c r="H679" s="1">
        <f>1911+1547</f>
        <v>3458</v>
      </c>
      <c r="I679" s="1">
        <f>1629.39+1319.03</f>
        <v>2948.42</v>
      </c>
      <c r="J679" s="1">
        <f>1256.64+1017.28</f>
        <v>2273.92</v>
      </c>
      <c r="K679" s="1">
        <f>1252.65+1014.05</f>
        <v>2266.6999999999998</v>
      </c>
    </row>
    <row r="680" spans="1:11" ht="31.5" x14ac:dyDescent="0.25">
      <c r="A680" s="56"/>
      <c r="B680" s="76"/>
      <c r="C680" s="56"/>
      <c r="D680" s="8" t="s">
        <v>532</v>
      </c>
      <c r="E680" s="8" t="s">
        <v>684</v>
      </c>
      <c r="F680" s="9" t="s">
        <v>68</v>
      </c>
      <c r="G680" s="10">
        <v>39</v>
      </c>
      <c r="H680" s="10" t="s">
        <v>165</v>
      </c>
      <c r="I680" s="10" t="s">
        <v>165</v>
      </c>
      <c r="J680" s="10" t="s">
        <v>165</v>
      </c>
      <c r="K680" s="10" t="s">
        <v>165</v>
      </c>
    </row>
    <row r="681" spans="1:11" ht="31.5" x14ac:dyDescent="0.25">
      <c r="A681" s="56"/>
      <c r="B681" s="76"/>
      <c r="C681" s="56"/>
      <c r="D681" s="8" t="s">
        <v>1340</v>
      </c>
      <c r="E681" s="8" t="s">
        <v>1341</v>
      </c>
      <c r="F681" s="9" t="s">
        <v>68</v>
      </c>
      <c r="G681" s="10" t="s">
        <v>165</v>
      </c>
      <c r="H681" s="10">
        <v>36</v>
      </c>
      <c r="I681" s="10">
        <v>36</v>
      </c>
      <c r="J681" s="10">
        <v>36</v>
      </c>
      <c r="K681" s="10">
        <v>36</v>
      </c>
    </row>
    <row r="682" spans="1:11" ht="63" x14ac:dyDescent="0.25">
      <c r="A682" s="56"/>
      <c r="B682" s="76"/>
      <c r="C682" s="56"/>
      <c r="D682" s="8" t="s">
        <v>601</v>
      </c>
      <c r="E682" s="8" t="s">
        <v>609</v>
      </c>
      <c r="F682" s="9" t="s">
        <v>109</v>
      </c>
      <c r="G682" s="1">
        <v>3472.05</v>
      </c>
      <c r="H682" s="1">
        <v>3276</v>
      </c>
      <c r="I682" s="1">
        <v>2793.2400000000002</v>
      </c>
      <c r="J682" s="1">
        <v>2154.2400000000002</v>
      </c>
      <c r="K682" s="1">
        <v>2147.4</v>
      </c>
    </row>
    <row r="683" spans="1:11" ht="47.25" x14ac:dyDescent="0.25">
      <c r="A683" s="56"/>
      <c r="B683" s="76"/>
      <c r="C683" s="56"/>
      <c r="D683" s="8" t="s">
        <v>532</v>
      </c>
      <c r="E683" s="8" t="s">
        <v>685</v>
      </c>
      <c r="F683" s="9" t="s">
        <v>68</v>
      </c>
      <c r="G683" s="10">
        <f>24.58+523+739</f>
        <v>1286.58</v>
      </c>
      <c r="H683" s="10" t="s">
        <v>165</v>
      </c>
      <c r="I683" s="10" t="s">
        <v>165</v>
      </c>
      <c r="J683" s="10" t="s">
        <v>165</v>
      </c>
      <c r="K683" s="10" t="s">
        <v>165</v>
      </c>
    </row>
    <row r="684" spans="1:11" ht="31.5" x14ac:dyDescent="0.25">
      <c r="A684" s="56"/>
      <c r="B684" s="76"/>
      <c r="C684" s="56"/>
      <c r="D684" s="8" t="s">
        <v>1352</v>
      </c>
      <c r="E684" s="64" t="s">
        <v>1353</v>
      </c>
      <c r="F684" s="55" t="s">
        <v>68</v>
      </c>
      <c r="G684" s="10" t="s">
        <v>165</v>
      </c>
      <c r="H684" s="10">
        <v>392</v>
      </c>
      <c r="I684" s="10">
        <v>392</v>
      </c>
      <c r="J684" s="10">
        <v>392</v>
      </c>
      <c r="K684" s="10">
        <v>392</v>
      </c>
    </row>
    <row r="685" spans="1:11" ht="31.5" x14ac:dyDescent="0.25">
      <c r="A685" s="56"/>
      <c r="B685" s="76"/>
      <c r="C685" s="56"/>
      <c r="D685" s="8" t="s">
        <v>1354</v>
      </c>
      <c r="E685" s="71"/>
      <c r="F685" s="56"/>
      <c r="G685" s="10" t="s">
        <v>165</v>
      </c>
      <c r="H685" s="10">
        <v>78</v>
      </c>
      <c r="I685" s="10">
        <v>78</v>
      </c>
      <c r="J685" s="10">
        <v>78</v>
      </c>
      <c r="K685" s="10">
        <v>78</v>
      </c>
    </row>
    <row r="686" spans="1:11" ht="31.5" x14ac:dyDescent="0.25">
      <c r="A686" s="56"/>
      <c r="B686" s="76"/>
      <c r="C686" s="56"/>
      <c r="D686" s="8" t="s">
        <v>1355</v>
      </c>
      <c r="E686" s="65"/>
      <c r="F686" s="57"/>
      <c r="G686" s="10" t="s">
        <v>165</v>
      </c>
      <c r="H686" s="10">
        <v>75</v>
      </c>
      <c r="I686" s="10">
        <v>75</v>
      </c>
      <c r="J686" s="10">
        <v>75</v>
      </c>
      <c r="K686" s="10">
        <v>75</v>
      </c>
    </row>
    <row r="687" spans="1:11" ht="44.25" customHeight="1" x14ac:dyDescent="0.25">
      <c r="A687" s="56"/>
      <c r="B687" s="76"/>
      <c r="C687" s="56"/>
      <c r="D687" s="8" t="s">
        <v>705</v>
      </c>
      <c r="E687" s="64" t="s">
        <v>609</v>
      </c>
      <c r="F687" s="55" t="s">
        <v>109</v>
      </c>
      <c r="G687" s="1">
        <f>1786.82</f>
        <v>1786.82</v>
      </c>
      <c r="H687" s="1">
        <v>0</v>
      </c>
      <c r="I687" s="1">
        <v>0</v>
      </c>
      <c r="J687" s="1">
        <v>0</v>
      </c>
      <c r="K687" s="1">
        <v>0</v>
      </c>
    </row>
    <row r="688" spans="1:11" ht="15.75" x14ac:dyDescent="0.25">
      <c r="A688" s="56"/>
      <c r="B688" s="76"/>
      <c r="C688" s="56"/>
      <c r="D688" s="8" t="s">
        <v>706</v>
      </c>
      <c r="E688" s="65"/>
      <c r="F688" s="57"/>
      <c r="G688" s="1">
        <f>25297.76+52303.86</f>
        <v>77601.62</v>
      </c>
      <c r="H688" s="1">
        <f>34202+6805.5+6543.75</f>
        <v>47551.25</v>
      </c>
      <c r="I688" s="1">
        <f>26479.6+5268.9+5066.25</f>
        <v>36814.75</v>
      </c>
      <c r="J688" s="1">
        <f>20607.44+4100.46+3942.75</f>
        <v>28650.649999999998</v>
      </c>
      <c r="K688" s="1">
        <f>20188+4017+3862.5</f>
        <v>28067.5</v>
      </c>
    </row>
    <row r="689" spans="1:11" ht="47.25" x14ac:dyDescent="0.25">
      <c r="A689" s="56"/>
      <c r="B689" s="76"/>
      <c r="C689" s="56"/>
      <c r="D689" s="8" t="s">
        <v>532</v>
      </c>
      <c r="E689" s="8" t="s">
        <v>686</v>
      </c>
      <c r="F689" s="9" t="s">
        <v>68</v>
      </c>
      <c r="G689" s="10">
        <f>24+67</f>
        <v>91</v>
      </c>
      <c r="H689" s="10" t="s">
        <v>165</v>
      </c>
      <c r="I689" s="10" t="s">
        <v>165</v>
      </c>
      <c r="J689" s="10" t="s">
        <v>165</v>
      </c>
      <c r="K689" s="10" t="s">
        <v>165</v>
      </c>
    </row>
    <row r="690" spans="1:11" ht="31.5" x14ac:dyDescent="0.25">
      <c r="A690" s="56"/>
      <c r="B690" s="76"/>
      <c r="C690" s="56"/>
      <c r="D690" s="8" t="s">
        <v>1356</v>
      </c>
      <c r="E690" s="64" t="s">
        <v>1357</v>
      </c>
      <c r="F690" s="55" t="s">
        <v>68</v>
      </c>
      <c r="G690" s="10" t="s">
        <v>165</v>
      </c>
      <c r="H690" s="10">
        <v>594</v>
      </c>
      <c r="I690" s="10">
        <v>594</v>
      </c>
      <c r="J690" s="10">
        <v>594</v>
      </c>
      <c r="K690" s="10">
        <v>594</v>
      </c>
    </row>
    <row r="691" spans="1:11" ht="31.5" x14ac:dyDescent="0.25">
      <c r="A691" s="56"/>
      <c r="B691" s="76"/>
      <c r="C691" s="56"/>
      <c r="D691" s="8" t="s">
        <v>1358</v>
      </c>
      <c r="E691" s="71"/>
      <c r="F691" s="56"/>
      <c r="G691" s="10" t="s">
        <v>165</v>
      </c>
      <c r="H691" s="10">
        <v>66</v>
      </c>
      <c r="I691" s="10">
        <v>66</v>
      </c>
      <c r="J691" s="10">
        <v>66</v>
      </c>
      <c r="K691" s="10">
        <v>66</v>
      </c>
    </row>
    <row r="692" spans="1:11" ht="31.5" x14ac:dyDescent="0.25">
      <c r="A692" s="56"/>
      <c r="B692" s="76"/>
      <c r="C692" s="56"/>
      <c r="D692" s="8" t="s">
        <v>1359</v>
      </c>
      <c r="E692" s="65"/>
      <c r="F692" s="57"/>
      <c r="G692" s="10" t="s">
        <v>165</v>
      </c>
      <c r="H692" s="10">
        <v>25</v>
      </c>
      <c r="I692" s="10">
        <v>25</v>
      </c>
      <c r="J692" s="10">
        <v>25</v>
      </c>
      <c r="K692" s="10">
        <v>25</v>
      </c>
    </row>
    <row r="693" spans="1:11" ht="44.25" customHeight="1" x14ac:dyDescent="0.25">
      <c r="A693" s="56"/>
      <c r="B693" s="76"/>
      <c r="C693" s="56"/>
      <c r="D693" s="8" t="s">
        <v>705</v>
      </c>
      <c r="E693" s="64" t="s">
        <v>609</v>
      </c>
      <c r="F693" s="55" t="s">
        <v>109</v>
      </c>
      <c r="G693" s="1">
        <f>2136.69</f>
        <v>2136.69</v>
      </c>
      <c r="H693" s="1">
        <f>29365.48+6006+2275</f>
        <v>37646.479999999996</v>
      </c>
      <c r="I693" s="1">
        <f>26088.46+5120.94+1939.75</f>
        <v>33149.149999999994</v>
      </c>
      <c r="J693" s="1">
        <f>22939.2+3949.44+1496</f>
        <v>28384.639999999999</v>
      </c>
      <c r="K693" s="1">
        <f>20432.1+3936.9+1491.25</f>
        <v>25860.25</v>
      </c>
    </row>
    <row r="694" spans="1:11" ht="18.75" customHeight="1" x14ac:dyDescent="0.25">
      <c r="A694" s="56"/>
      <c r="B694" s="76"/>
      <c r="C694" s="56"/>
      <c r="D694" s="8" t="s">
        <v>706</v>
      </c>
      <c r="E694" s="65"/>
      <c r="F694" s="57"/>
      <c r="G694" s="1">
        <v>2955.91</v>
      </c>
      <c r="H694" s="1">
        <v>0</v>
      </c>
      <c r="I694" s="1">
        <v>0</v>
      </c>
      <c r="J694" s="1">
        <v>0</v>
      </c>
      <c r="K694" s="1">
        <v>0</v>
      </c>
    </row>
    <row r="695" spans="1:11" ht="47.25" x14ac:dyDescent="0.25">
      <c r="A695" s="56"/>
      <c r="B695" s="76"/>
      <c r="C695" s="56"/>
      <c r="D695" s="8" t="s">
        <v>532</v>
      </c>
      <c r="E695" s="8" t="s">
        <v>687</v>
      </c>
      <c r="F695" s="9" t="s">
        <v>68</v>
      </c>
      <c r="G695" s="10">
        <f>69+42</f>
        <v>111</v>
      </c>
      <c r="H695" s="10" t="s">
        <v>165</v>
      </c>
      <c r="I695" s="10" t="s">
        <v>165</v>
      </c>
      <c r="J695" s="10" t="s">
        <v>165</v>
      </c>
      <c r="K695" s="10" t="s">
        <v>165</v>
      </c>
    </row>
    <row r="696" spans="1:11" ht="63" customHeight="1" x14ac:dyDescent="0.25">
      <c r="A696" s="56"/>
      <c r="B696" s="76"/>
      <c r="C696" s="56"/>
      <c r="D696" s="8" t="s">
        <v>1362</v>
      </c>
      <c r="E696" s="64" t="s">
        <v>1363</v>
      </c>
      <c r="F696" s="55" t="s">
        <v>68</v>
      </c>
      <c r="G696" s="10" t="s">
        <v>165</v>
      </c>
      <c r="H696" s="10" t="s">
        <v>1364</v>
      </c>
      <c r="I696" s="10" t="s">
        <v>1364</v>
      </c>
      <c r="J696" s="10">
        <v>84</v>
      </c>
      <c r="K696" s="10">
        <v>84</v>
      </c>
    </row>
    <row r="697" spans="1:11" ht="31.5" x14ac:dyDescent="0.25">
      <c r="A697" s="56"/>
      <c r="B697" s="76"/>
      <c r="C697" s="56"/>
      <c r="D697" s="8" t="s">
        <v>1362</v>
      </c>
      <c r="E697" s="65"/>
      <c r="F697" s="57"/>
      <c r="G697" s="10" t="s">
        <v>165</v>
      </c>
      <c r="H697" s="10" t="s">
        <v>1365</v>
      </c>
      <c r="I697" s="10" t="s">
        <v>1365</v>
      </c>
      <c r="J697" s="10">
        <v>42</v>
      </c>
      <c r="K697" s="10">
        <v>42</v>
      </c>
    </row>
    <row r="698" spans="1:11" ht="63" customHeight="1" x14ac:dyDescent="0.25">
      <c r="A698" s="56"/>
      <c r="B698" s="76"/>
      <c r="C698" s="56"/>
      <c r="D698" s="8" t="s">
        <v>601</v>
      </c>
      <c r="E698" s="64" t="s">
        <v>609</v>
      </c>
      <c r="F698" s="55" t="s">
        <v>109</v>
      </c>
      <c r="G698" s="1">
        <v>6198.25</v>
      </c>
      <c r="H698" s="1">
        <v>4557.76</v>
      </c>
      <c r="I698" s="1">
        <v>6517.56</v>
      </c>
      <c r="J698" s="1">
        <v>5026.5600000000004</v>
      </c>
      <c r="K698" s="1">
        <v>5010.5999999999995</v>
      </c>
    </row>
    <row r="699" spans="1:11" ht="15.75" x14ac:dyDescent="0.25">
      <c r="A699" s="56"/>
      <c r="B699" s="76"/>
      <c r="C699" s="56"/>
      <c r="D699" s="8" t="s">
        <v>706</v>
      </c>
      <c r="E699" s="65"/>
      <c r="F699" s="57"/>
      <c r="G699" s="1">
        <v>1897.98</v>
      </c>
      <c r="H699" s="1">
        <v>3664.5</v>
      </c>
      <c r="I699" s="1">
        <v>2837.1</v>
      </c>
      <c r="J699" s="1">
        <v>2207.94</v>
      </c>
      <c r="K699" s="1">
        <v>2163</v>
      </c>
    </row>
    <row r="700" spans="1:11" ht="78.75" x14ac:dyDescent="0.25">
      <c r="A700" s="56"/>
      <c r="B700" s="76"/>
      <c r="C700" s="56"/>
      <c r="D700" s="8" t="s">
        <v>532</v>
      </c>
      <c r="E700" s="8" t="s">
        <v>688</v>
      </c>
      <c r="F700" s="9" t="s">
        <v>68</v>
      </c>
      <c r="G700" s="10">
        <f>169.62+116</f>
        <v>285.62</v>
      </c>
      <c r="H700" s="10" t="s">
        <v>165</v>
      </c>
      <c r="I700" s="10" t="s">
        <v>165</v>
      </c>
      <c r="J700" s="10" t="s">
        <v>165</v>
      </c>
      <c r="K700" s="10" t="s">
        <v>165</v>
      </c>
    </row>
    <row r="701" spans="1:11" ht="63" x14ac:dyDescent="0.25">
      <c r="A701" s="56"/>
      <c r="B701" s="76"/>
      <c r="C701" s="56"/>
      <c r="D701" s="8" t="s">
        <v>1366</v>
      </c>
      <c r="E701" s="8" t="s">
        <v>1367</v>
      </c>
      <c r="F701" s="9" t="s">
        <v>68</v>
      </c>
      <c r="G701" s="10" t="s">
        <v>165</v>
      </c>
      <c r="H701" s="10">
        <v>216</v>
      </c>
      <c r="I701" s="10">
        <v>216</v>
      </c>
      <c r="J701" s="10">
        <v>216</v>
      </c>
      <c r="K701" s="10">
        <v>216</v>
      </c>
    </row>
    <row r="702" spans="1:11" ht="63" customHeight="1" x14ac:dyDescent="0.25">
      <c r="A702" s="56"/>
      <c r="B702" s="76"/>
      <c r="C702" s="56"/>
      <c r="D702" s="8" t="s">
        <v>705</v>
      </c>
      <c r="E702" s="64" t="s">
        <v>609</v>
      </c>
      <c r="F702" s="55" t="s">
        <v>109</v>
      </c>
      <c r="G702" s="1">
        <f>15681.63</f>
        <v>15681.63</v>
      </c>
      <c r="H702" s="1">
        <v>0</v>
      </c>
      <c r="I702" s="1">
        <v>0</v>
      </c>
      <c r="J702" s="1">
        <v>0</v>
      </c>
      <c r="K702" s="1">
        <v>0</v>
      </c>
    </row>
    <row r="703" spans="1:11" ht="15.75" x14ac:dyDescent="0.25">
      <c r="A703" s="56"/>
      <c r="B703" s="76"/>
      <c r="C703" s="56"/>
      <c r="D703" s="8" t="s">
        <v>706</v>
      </c>
      <c r="E703" s="65"/>
      <c r="F703" s="57"/>
      <c r="G703" s="1">
        <f>5412.72</f>
        <v>5412.72</v>
      </c>
      <c r="H703" s="1">
        <v>17027.88</v>
      </c>
      <c r="I703" s="1">
        <v>13189.91</v>
      </c>
      <c r="J703" s="1">
        <v>10227.710000000001</v>
      </c>
      <c r="K703" s="1">
        <v>10005.459999999999</v>
      </c>
    </row>
    <row r="704" spans="1:11" ht="47.25" x14ac:dyDescent="0.25">
      <c r="A704" s="56"/>
      <c r="B704" s="76"/>
      <c r="C704" s="56"/>
      <c r="D704" s="8" t="s">
        <v>532</v>
      </c>
      <c r="E704" s="8" t="s">
        <v>689</v>
      </c>
      <c r="F704" s="9" t="s">
        <v>68</v>
      </c>
      <c r="G704" s="10">
        <v>116</v>
      </c>
      <c r="H704" s="10" t="s">
        <v>165</v>
      </c>
      <c r="I704" s="10" t="s">
        <v>165</v>
      </c>
      <c r="J704" s="10" t="s">
        <v>165</v>
      </c>
      <c r="K704" s="10" t="s">
        <v>165</v>
      </c>
    </row>
    <row r="705" spans="1:11" ht="47.25" x14ac:dyDescent="0.25">
      <c r="A705" s="56"/>
      <c r="B705" s="76"/>
      <c r="C705" s="56"/>
      <c r="D705" s="8" t="s">
        <v>1368</v>
      </c>
      <c r="E705" s="8" t="s">
        <v>1369</v>
      </c>
      <c r="F705" s="9" t="s">
        <v>68</v>
      </c>
      <c r="G705" s="10" t="s">
        <v>165</v>
      </c>
      <c r="H705" s="10">
        <v>87</v>
      </c>
      <c r="I705" s="10">
        <v>87</v>
      </c>
      <c r="J705" s="10">
        <v>87</v>
      </c>
      <c r="K705" s="10">
        <v>87</v>
      </c>
    </row>
    <row r="706" spans="1:11" ht="63" x14ac:dyDescent="0.25">
      <c r="A706" s="56"/>
      <c r="B706" s="76"/>
      <c r="C706" s="56"/>
      <c r="D706" s="8" t="s">
        <v>641</v>
      </c>
      <c r="E706" s="8" t="s">
        <v>609</v>
      </c>
      <c r="F706" s="9" t="s">
        <v>109</v>
      </c>
      <c r="G706" s="1">
        <v>10950.4</v>
      </c>
      <c r="H706" s="1">
        <v>7590.75</v>
      </c>
      <c r="I706" s="1">
        <v>5876.8499999999995</v>
      </c>
      <c r="J706" s="1">
        <v>4573.59</v>
      </c>
      <c r="K706" s="1">
        <v>4480.5</v>
      </c>
    </row>
    <row r="707" spans="1:11" ht="47.25" x14ac:dyDescent="0.25">
      <c r="A707" s="56"/>
      <c r="B707" s="76"/>
      <c r="C707" s="56"/>
      <c r="D707" s="8" t="s">
        <v>532</v>
      </c>
      <c r="E707" s="8" t="s">
        <v>690</v>
      </c>
      <c r="F707" s="9" t="s">
        <v>68</v>
      </c>
      <c r="G707" s="10">
        <v>96</v>
      </c>
      <c r="H707" s="10" t="s">
        <v>165</v>
      </c>
      <c r="I707" s="10" t="s">
        <v>165</v>
      </c>
      <c r="J707" s="10" t="s">
        <v>165</v>
      </c>
      <c r="K707" s="10" t="s">
        <v>165</v>
      </c>
    </row>
    <row r="708" spans="1:11" ht="47.25" x14ac:dyDescent="0.25">
      <c r="A708" s="56"/>
      <c r="B708" s="76"/>
      <c r="C708" s="56"/>
      <c r="D708" s="8" t="s">
        <v>1382</v>
      </c>
      <c r="E708" s="8" t="s">
        <v>1383</v>
      </c>
      <c r="F708" s="9" t="s">
        <v>68</v>
      </c>
      <c r="G708" s="10" t="s">
        <v>165</v>
      </c>
      <c r="H708" s="10">
        <v>106</v>
      </c>
      <c r="I708" s="10">
        <v>106</v>
      </c>
      <c r="J708" s="10">
        <v>106</v>
      </c>
      <c r="K708" s="10">
        <v>106</v>
      </c>
    </row>
    <row r="709" spans="1:11" ht="63" x14ac:dyDescent="0.25">
      <c r="A709" s="56"/>
      <c r="B709" s="76"/>
      <c r="C709" s="56"/>
      <c r="D709" s="8" t="s">
        <v>601</v>
      </c>
      <c r="E709" s="8" t="s">
        <v>609</v>
      </c>
      <c r="F709" s="9" t="s">
        <v>109</v>
      </c>
      <c r="G709" s="1">
        <v>8635.6200000000008</v>
      </c>
      <c r="H709" s="1">
        <v>9646</v>
      </c>
      <c r="I709" s="1">
        <v>8224.5400000000009</v>
      </c>
      <c r="J709" s="1">
        <v>6343.04</v>
      </c>
      <c r="K709" s="1">
        <v>6322.9</v>
      </c>
    </row>
    <row r="710" spans="1:11" ht="47.25" x14ac:dyDescent="0.25">
      <c r="A710" s="56"/>
      <c r="B710" s="76"/>
      <c r="C710" s="56"/>
      <c r="D710" s="8" t="s">
        <v>532</v>
      </c>
      <c r="E710" s="8" t="s">
        <v>691</v>
      </c>
      <c r="F710" s="9" t="s">
        <v>68</v>
      </c>
      <c r="G710" s="10">
        <v>43</v>
      </c>
      <c r="H710" s="10" t="s">
        <v>165</v>
      </c>
      <c r="I710" s="10" t="s">
        <v>165</v>
      </c>
      <c r="J710" s="10" t="s">
        <v>165</v>
      </c>
      <c r="K710" s="10" t="s">
        <v>165</v>
      </c>
    </row>
    <row r="711" spans="1:11" ht="47.25" x14ac:dyDescent="0.25">
      <c r="A711" s="56"/>
      <c r="B711" s="76"/>
      <c r="C711" s="56"/>
      <c r="D711" s="8" t="s">
        <v>1384</v>
      </c>
      <c r="E711" s="8" t="s">
        <v>1385</v>
      </c>
      <c r="F711" s="9" t="s">
        <v>68</v>
      </c>
      <c r="G711" s="10" t="s">
        <v>165</v>
      </c>
      <c r="H711" s="10">
        <v>53</v>
      </c>
      <c r="I711" s="10">
        <v>53</v>
      </c>
      <c r="J711" s="10">
        <v>53</v>
      </c>
      <c r="K711" s="10">
        <v>53</v>
      </c>
    </row>
    <row r="712" spans="1:11" ht="63" x14ac:dyDescent="0.25">
      <c r="A712" s="56"/>
      <c r="B712" s="76"/>
      <c r="C712" s="56"/>
      <c r="D712" s="8" t="s">
        <v>601</v>
      </c>
      <c r="E712" s="8" t="s">
        <v>609</v>
      </c>
      <c r="F712" s="9" t="s">
        <v>109</v>
      </c>
      <c r="G712" s="1">
        <v>3828.1</v>
      </c>
      <c r="H712" s="1">
        <v>4823</v>
      </c>
      <c r="I712" s="1">
        <v>4112.2700000000004</v>
      </c>
      <c r="J712" s="1">
        <v>3171.52</v>
      </c>
      <c r="K712" s="1">
        <v>3161.45</v>
      </c>
    </row>
    <row r="713" spans="1:11" ht="47.25" x14ac:dyDescent="0.25">
      <c r="A713" s="56"/>
      <c r="B713" s="76"/>
      <c r="C713" s="56"/>
      <c r="D713" s="8" t="s">
        <v>532</v>
      </c>
      <c r="E713" s="8" t="s">
        <v>692</v>
      </c>
      <c r="F713" s="9" t="s">
        <v>68</v>
      </c>
      <c r="G713" s="10">
        <v>47</v>
      </c>
      <c r="H713" s="10" t="s">
        <v>165</v>
      </c>
      <c r="I713" s="10" t="s">
        <v>165</v>
      </c>
      <c r="J713" s="10" t="s">
        <v>165</v>
      </c>
      <c r="K713" s="10" t="s">
        <v>165</v>
      </c>
    </row>
    <row r="714" spans="1:11" ht="63" x14ac:dyDescent="0.25">
      <c r="A714" s="56"/>
      <c r="B714" s="76"/>
      <c r="C714" s="56"/>
      <c r="D714" s="8" t="s">
        <v>1386</v>
      </c>
      <c r="E714" s="8" t="s">
        <v>1387</v>
      </c>
      <c r="F714" s="9" t="s">
        <v>68</v>
      </c>
      <c r="G714" s="10" t="s">
        <v>165</v>
      </c>
      <c r="H714" s="10">
        <v>52</v>
      </c>
      <c r="I714" s="10">
        <v>52</v>
      </c>
      <c r="J714" s="10">
        <v>52</v>
      </c>
      <c r="K714" s="10">
        <v>52</v>
      </c>
    </row>
    <row r="715" spans="1:11" ht="63" x14ac:dyDescent="0.25">
      <c r="A715" s="56"/>
      <c r="B715" s="76"/>
      <c r="C715" s="56"/>
      <c r="D715" s="8" t="s">
        <v>601</v>
      </c>
      <c r="E715" s="8" t="s">
        <v>609</v>
      </c>
      <c r="F715" s="9" t="s">
        <v>109</v>
      </c>
      <c r="G715" s="1">
        <v>4184.28</v>
      </c>
      <c r="H715" s="1">
        <v>4732</v>
      </c>
      <c r="I715" s="1">
        <v>4034.6800000000003</v>
      </c>
      <c r="J715" s="1">
        <v>3111.6800000000003</v>
      </c>
      <c r="K715" s="1">
        <v>3101.7999999999997</v>
      </c>
    </row>
    <row r="716" spans="1:11" ht="47.25" x14ac:dyDescent="0.25">
      <c r="A716" s="56"/>
      <c r="B716" s="76"/>
      <c r="C716" s="56"/>
      <c r="D716" s="8" t="s">
        <v>532</v>
      </c>
      <c r="E716" s="8" t="s">
        <v>693</v>
      </c>
      <c r="F716" s="9" t="s">
        <v>68</v>
      </c>
      <c r="G716" s="10">
        <v>67</v>
      </c>
      <c r="H716" s="10" t="s">
        <v>165</v>
      </c>
      <c r="I716" s="10" t="s">
        <v>165</v>
      </c>
      <c r="J716" s="10" t="s">
        <v>165</v>
      </c>
      <c r="K716" s="10" t="s">
        <v>165</v>
      </c>
    </row>
    <row r="717" spans="1:11" ht="47.25" x14ac:dyDescent="0.25">
      <c r="A717" s="56"/>
      <c r="B717" s="76"/>
      <c r="C717" s="56"/>
      <c r="D717" s="8" t="s">
        <v>1388</v>
      </c>
      <c r="E717" s="8" t="s">
        <v>1389</v>
      </c>
      <c r="F717" s="9" t="s">
        <v>68</v>
      </c>
      <c r="G717" s="10" t="s">
        <v>165</v>
      </c>
      <c r="H717" s="10">
        <v>70</v>
      </c>
      <c r="I717" s="10">
        <v>70</v>
      </c>
      <c r="J717" s="10">
        <v>70</v>
      </c>
      <c r="K717" s="10">
        <v>70</v>
      </c>
    </row>
    <row r="718" spans="1:11" ht="63" x14ac:dyDescent="0.25">
      <c r="A718" s="56"/>
      <c r="B718" s="76"/>
      <c r="C718" s="56"/>
      <c r="D718" s="8" t="s">
        <v>601</v>
      </c>
      <c r="E718" s="8" t="s">
        <v>609</v>
      </c>
      <c r="F718" s="9" t="s">
        <v>109</v>
      </c>
      <c r="G718" s="1">
        <v>5964.91</v>
      </c>
      <c r="H718" s="1">
        <v>6370</v>
      </c>
      <c r="I718" s="1">
        <v>5431.3</v>
      </c>
      <c r="J718" s="1">
        <v>4188.8</v>
      </c>
      <c r="K718" s="1">
        <v>4175.5</v>
      </c>
    </row>
    <row r="719" spans="1:11" ht="78.75" x14ac:dyDescent="0.25">
      <c r="A719" s="56"/>
      <c r="B719" s="76"/>
      <c r="C719" s="56"/>
      <c r="D719" s="8" t="s">
        <v>532</v>
      </c>
      <c r="E719" s="8" t="s">
        <v>694</v>
      </c>
      <c r="F719" s="9" t="s">
        <v>68</v>
      </c>
      <c r="G719" s="10">
        <v>67</v>
      </c>
      <c r="H719" s="10" t="s">
        <v>165</v>
      </c>
      <c r="I719" s="10" t="s">
        <v>165</v>
      </c>
      <c r="J719" s="10" t="s">
        <v>165</v>
      </c>
      <c r="K719" s="10" t="s">
        <v>165</v>
      </c>
    </row>
    <row r="720" spans="1:11" ht="63" x14ac:dyDescent="0.25">
      <c r="A720" s="56"/>
      <c r="B720" s="76"/>
      <c r="C720" s="56"/>
      <c r="D720" s="8" t="s">
        <v>601</v>
      </c>
      <c r="E720" s="8" t="s">
        <v>609</v>
      </c>
      <c r="F720" s="9" t="s">
        <v>109</v>
      </c>
      <c r="G720" s="1">
        <v>5964.91</v>
      </c>
      <c r="H720" s="1">
        <v>0</v>
      </c>
      <c r="I720" s="1">
        <v>0</v>
      </c>
      <c r="J720" s="1">
        <v>0</v>
      </c>
      <c r="K720" s="1">
        <v>0</v>
      </c>
    </row>
    <row r="721" spans="1:11" ht="47.25" x14ac:dyDescent="0.25">
      <c r="A721" s="56"/>
      <c r="B721" s="76"/>
      <c r="C721" s="56"/>
      <c r="D721" s="8" t="s">
        <v>532</v>
      </c>
      <c r="E721" s="8" t="s">
        <v>695</v>
      </c>
      <c r="F721" s="9" t="s">
        <v>68</v>
      </c>
      <c r="G721" s="10">
        <v>47</v>
      </c>
      <c r="H721" s="10" t="s">
        <v>165</v>
      </c>
      <c r="I721" s="10" t="s">
        <v>165</v>
      </c>
      <c r="J721" s="10" t="s">
        <v>165</v>
      </c>
      <c r="K721" s="10" t="s">
        <v>165</v>
      </c>
    </row>
    <row r="722" spans="1:11" ht="31.5" x14ac:dyDescent="0.25">
      <c r="A722" s="56"/>
      <c r="B722" s="76"/>
      <c r="C722" s="56"/>
      <c r="D722" s="8" t="s">
        <v>1390</v>
      </c>
      <c r="E722" s="8" t="s">
        <v>1391</v>
      </c>
      <c r="F722" s="9" t="s">
        <v>68</v>
      </c>
      <c r="G722" s="10" t="s">
        <v>165</v>
      </c>
      <c r="H722" s="10">
        <v>49</v>
      </c>
      <c r="I722" s="10">
        <v>49</v>
      </c>
      <c r="J722" s="10">
        <v>49</v>
      </c>
      <c r="K722" s="10">
        <v>49</v>
      </c>
    </row>
    <row r="723" spans="1:11" ht="63" x14ac:dyDescent="0.25">
      <c r="A723" s="56"/>
      <c r="B723" s="76"/>
      <c r="C723" s="56"/>
      <c r="D723" s="8" t="s">
        <v>601</v>
      </c>
      <c r="E723" s="8" t="s">
        <v>609</v>
      </c>
      <c r="F723" s="9" t="s">
        <v>109</v>
      </c>
      <c r="G723" s="1">
        <v>4184.28</v>
      </c>
      <c r="H723" s="1">
        <v>4459</v>
      </c>
      <c r="I723" s="1">
        <v>3801.9100000000003</v>
      </c>
      <c r="J723" s="1">
        <v>2932.1600000000003</v>
      </c>
      <c r="K723" s="1">
        <v>2922.85</v>
      </c>
    </row>
    <row r="724" spans="1:11" ht="63" x14ac:dyDescent="0.25">
      <c r="A724" s="56"/>
      <c r="B724" s="76"/>
      <c r="C724" s="56"/>
      <c r="D724" s="8" t="s">
        <v>532</v>
      </c>
      <c r="E724" s="8" t="s">
        <v>696</v>
      </c>
      <c r="F724" s="9" t="s">
        <v>68</v>
      </c>
      <c r="G724" s="10">
        <f>6+71</f>
        <v>77</v>
      </c>
      <c r="H724" s="10" t="s">
        <v>165</v>
      </c>
      <c r="I724" s="10" t="s">
        <v>165</v>
      </c>
      <c r="J724" s="10" t="s">
        <v>165</v>
      </c>
      <c r="K724" s="10" t="s">
        <v>165</v>
      </c>
    </row>
    <row r="725" spans="1:11" ht="47.25" customHeight="1" x14ac:dyDescent="0.25">
      <c r="A725" s="56"/>
      <c r="B725" s="76"/>
      <c r="C725" s="56"/>
      <c r="D725" s="8" t="s">
        <v>1392</v>
      </c>
      <c r="E725" s="64" t="s">
        <v>1393</v>
      </c>
      <c r="F725" s="55" t="s">
        <v>68</v>
      </c>
      <c r="G725" s="10" t="s">
        <v>165</v>
      </c>
      <c r="H725" s="10">
        <v>22</v>
      </c>
      <c r="I725" s="10">
        <v>22</v>
      </c>
      <c r="J725" s="10">
        <v>22</v>
      </c>
      <c r="K725" s="10">
        <v>22</v>
      </c>
    </row>
    <row r="726" spans="1:11" ht="31.5" x14ac:dyDescent="0.25">
      <c r="A726" s="56"/>
      <c r="B726" s="76"/>
      <c r="C726" s="56"/>
      <c r="D726" s="8" t="s">
        <v>1394</v>
      </c>
      <c r="E726" s="65"/>
      <c r="F726" s="57"/>
      <c r="G726" s="10" t="s">
        <v>165</v>
      </c>
      <c r="H726" s="10">
        <v>83</v>
      </c>
      <c r="I726" s="10">
        <v>83</v>
      </c>
      <c r="J726" s="10">
        <v>83</v>
      </c>
      <c r="K726" s="10">
        <v>83</v>
      </c>
    </row>
    <row r="727" spans="1:11" ht="63" x14ac:dyDescent="0.25">
      <c r="A727" s="56"/>
      <c r="B727" s="76"/>
      <c r="C727" s="56"/>
      <c r="D727" s="8" t="s">
        <v>601</v>
      </c>
      <c r="E727" s="8" t="s">
        <v>609</v>
      </c>
      <c r="F727" s="9" t="s">
        <v>109</v>
      </c>
      <c r="G727" s="1">
        <f>445.16+6142.88</f>
        <v>6588.04</v>
      </c>
      <c r="H727" s="1">
        <f>2002+4466.76</f>
        <v>6468.76</v>
      </c>
      <c r="I727" s="1">
        <f>1706.98+6439.97</f>
        <v>8146.9500000000007</v>
      </c>
      <c r="J727" s="1">
        <f>1316.48+4966.72</f>
        <v>6283.2000000000007</v>
      </c>
      <c r="K727" s="1">
        <f>1312.3+4950.95</f>
        <v>6263.25</v>
      </c>
    </row>
    <row r="728" spans="1:11" ht="63" x14ac:dyDescent="0.25">
      <c r="A728" s="56"/>
      <c r="B728" s="76"/>
      <c r="C728" s="56"/>
      <c r="D728" s="8" t="s">
        <v>532</v>
      </c>
      <c r="E728" s="8" t="s">
        <v>697</v>
      </c>
      <c r="F728" s="9" t="s">
        <v>68</v>
      </c>
      <c r="G728" s="10">
        <f>43+284</f>
        <v>327</v>
      </c>
      <c r="H728" s="10" t="s">
        <v>165</v>
      </c>
      <c r="I728" s="10" t="s">
        <v>165</v>
      </c>
      <c r="J728" s="10" t="s">
        <v>165</v>
      </c>
      <c r="K728" s="10" t="s">
        <v>165</v>
      </c>
    </row>
    <row r="729" spans="1:11" ht="51" customHeight="1" x14ac:dyDescent="0.25">
      <c r="A729" s="56"/>
      <c r="B729" s="76"/>
      <c r="C729" s="56"/>
      <c r="D729" s="8" t="s">
        <v>1395</v>
      </c>
      <c r="E729" s="64" t="s">
        <v>1396</v>
      </c>
      <c r="F729" s="55" t="s">
        <v>68</v>
      </c>
      <c r="G729" s="10" t="s">
        <v>165</v>
      </c>
      <c r="H729" s="10">
        <v>262</v>
      </c>
      <c r="I729" s="10">
        <v>262</v>
      </c>
      <c r="J729" s="10">
        <v>262</v>
      </c>
      <c r="K729" s="10">
        <v>262</v>
      </c>
    </row>
    <row r="730" spans="1:11" ht="31.5" x14ac:dyDescent="0.25">
      <c r="A730" s="56"/>
      <c r="B730" s="76"/>
      <c r="C730" s="56"/>
      <c r="D730" s="8" t="s">
        <v>1397</v>
      </c>
      <c r="E730" s="65"/>
      <c r="F730" s="57"/>
      <c r="G730" s="10" t="s">
        <v>165</v>
      </c>
      <c r="H730" s="10">
        <v>50</v>
      </c>
      <c r="I730" s="10">
        <v>50</v>
      </c>
      <c r="J730" s="10">
        <v>50</v>
      </c>
      <c r="K730" s="10">
        <v>50</v>
      </c>
    </row>
    <row r="731" spans="1:11" ht="63" x14ac:dyDescent="0.25">
      <c r="A731" s="56"/>
      <c r="B731" s="76"/>
      <c r="C731" s="56"/>
      <c r="D731" s="8" t="s">
        <v>601</v>
      </c>
      <c r="E731" s="8" t="s">
        <v>609</v>
      </c>
      <c r="F731" s="9" t="s">
        <v>109</v>
      </c>
      <c r="G731" s="1">
        <f>3917.21+24639.92</f>
        <v>28557.129999999997</v>
      </c>
      <c r="H731" s="1">
        <f>23842+4550</f>
        <v>28392</v>
      </c>
      <c r="I731" s="1">
        <f>20328.58+3879.5</f>
        <v>24208.080000000002</v>
      </c>
      <c r="J731" s="1">
        <f>15678.08+2992</f>
        <v>18670.080000000002</v>
      </c>
      <c r="K731" s="1">
        <f>15628.3+2982.5</f>
        <v>18610.8</v>
      </c>
    </row>
    <row r="732" spans="1:11" ht="31.5" x14ac:dyDescent="0.25">
      <c r="A732" s="56"/>
      <c r="B732" s="76"/>
      <c r="C732" s="56"/>
      <c r="D732" s="8" t="s">
        <v>532</v>
      </c>
      <c r="E732" s="8" t="s">
        <v>698</v>
      </c>
      <c r="F732" s="9" t="s">
        <v>68</v>
      </c>
      <c r="G732" s="10">
        <v>77</v>
      </c>
      <c r="H732" s="10" t="s">
        <v>165</v>
      </c>
      <c r="I732" s="10" t="s">
        <v>165</v>
      </c>
      <c r="J732" s="10" t="s">
        <v>165</v>
      </c>
      <c r="K732" s="10" t="s">
        <v>165</v>
      </c>
    </row>
    <row r="733" spans="1:11" ht="31.5" x14ac:dyDescent="0.25">
      <c r="A733" s="56"/>
      <c r="B733" s="76"/>
      <c r="C733" s="56"/>
      <c r="D733" s="8" t="s">
        <v>1398</v>
      </c>
      <c r="E733" s="8" t="s">
        <v>1399</v>
      </c>
      <c r="F733" s="9" t="s">
        <v>68</v>
      </c>
      <c r="G733" s="10" t="s">
        <v>165</v>
      </c>
      <c r="H733" s="10">
        <v>85</v>
      </c>
      <c r="I733" s="10">
        <v>85</v>
      </c>
      <c r="J733" s="10">
        <v>85</v>
      </c>
      <c r="K733" s="10">
        <v>85</v>
      </c>
    </row>
    <row r="734" spans="1:11" ht="63" x14ac:dyDescent="0.25">
      <c r="A734" s="56"/>
      <c r="B734" s="76"/>
      <c r="C734" s="56"/>
      <c r="D734" s="8" t="s">
        <v>601</v>
      </c>
      <c r="E734" s="8" t="s">
        <v>609</v>
      </c>
      <c r="F734" s="9" t="s">
        <v>109</v>
      </c>
      <c r="G734" s="1">
        <v>6855.11</v>
      </c>
      <c r="H734" s="1">
        <v>7735</v>
      </c>
      <c r="I734" s="1">
        <v>6595.1500000000005</v>
      </c>
      <c r="J734" s="1">
        <v>5086.4000000000005</v>
      </c>
      <c r="K734" s="1">
        <v>5070.25</v>
      </c>
    </row>
    <row r="735" spans="1:11" ht="94.5" x14ac:dyDescent="0.25">
      <c r="A735" s="56"/>
      <c r="B735" s="76"/>
      <c r="C735" s="56"/>
      <c r="D735" s="8" t="s">
        <v>532</v>
      </c>
      <c r="E735" s="8" t="s">
        <v>699</v>
      </c>
      <c r="F735" s="9" t="s">
        <v>68</v>
      </c>
      <c r="G735" s="10">
        <v>63</v>
      </c>
      <c r="H735" s="10" t="s">
        <v>165</v>
      </c>
      <c r="I735" s="10" t="s">
        <v>165</v>
      </c>
      <c r="J735" s="10" t="s">
        <v>165</v>
      </c>
      <c r="K735" s="10" t="s">
        <v>165</v>
      </c>
    </row>
    <row r="736" spans="1:11" ht="94.5" x14ac:dyDescent="0.25">
      <c r="A736" s="56"/>
      <c r="B736" s="76"/>
      <c r="C736" s="56"/>
      <c r="D736" s="8" t="s">
        <v>1400</v>
      </c>
      <c r="E736" s="8" t="s">
        <v>1401</v>
      </c>
      <c r="F736" s="9" t="s">
        <v>68</v>
      </c>
      <c r="G736" s="10" t="s">
        <v>165</v>
      </c>
      <c r="H736" s="10">
        <v>58</v>
      </c>
      <c r="I736" s="10">
        <v>58</v>
      </c>
      <c r="J736" s="10">
        <v>58</v>
      </c>
      <c r="K736" s="10">
        <v>58</v>
      </c>
    </row>
    <row r="737" spans="1:11" ht="63" x14ac:dyDescent="0.25">
      <c r="A737" s="56"/>
      <c r="B737" s="76"/>
      <c r="C737" s="56"/>
      <c r="D737" s="8" t="s">
        <v>601</v>
      </c>
      <c r="E737" s="8" t="s">
        <v>609</v>
      </c>
      <c r="F737" s="9" t="s">
        <v>109</v>
      </c>
      <c r="G737" s="1">
        <v>5597.72</v>
      </c>
      <c r="H737" s="1">
        <v>5278</v>
      </c>
      <c r="I737" s="1">
        <v>4500.22</v>
      </c>
      <c r="J737" s="1">
        <v>3470.7200000000003</v>
      </c>
      <c r="K737" s="1">
        <v>3459.7</v>
      </c>
    </row>
    <row r="738" spans="1:11" ht="63" x14ac:dyDescent="0.25">
      <c r="A738" s="56"/>
      <c r="B738" s="76"/>
      <c r="C738" s="56"/>
      <c r="D738" s="8" t="s">
        <v>532</v>
      </c>
      <c r="E738" s="8" t="s">
        <v>700</v>
      </c>
      <c r="F738" s="9" t="s">
        <v>68</v>
      </c>
      <c r="G738" s="10">
        <v>96</v>
      </c>
      <c r="H738" s="10" t="s">
        <v>165</v>
      </c>
      <c r="I738" s="10" t="s">
        <v>165</v>
      </c>
      <c r="J738" s="10" t="s">
        <v>165</v>
      </c>
      <c r="K738" s="10" t="s">
        <v>165</v>
      </c>
    </row>
    <row r="739" spans="1:11" ht="63" x14ac:dyDescent="0.25">
      <c r="A739" s="56"/>
      <c r="B739" s="76"/>
      <c r="C739" s="56"/>
      <c r="D739" s="8" t="s">
        <v>1402</v>
      </c>
      <c r="E739" s="8" t="s">
        <v>1403</v>
      </c>
      <c r="F739" s="9" t="s">
        <v>68</v>
      </c>
      <c r="G739" s="10" t="s">
        <v>165</v>
      </c>
      <c r="H739" s="10">
        <v>93</v>
      </c>
      <c r="I739" s="10">
        <v>93</v>
      </c>
      <c r="J739" s="10">
        <v>93</v>
      </c>
      <c r="K739" s="10">
        <v>93</v>
      </c>
    </row>
    <row r="740" spans="1:11" ht="63" x14ac:dyDescent="0.25">
      <c r="A740" s="56"/>
      <c r="B740" s="76"/>
      <c r="C740" s="56"/>
      <c r="D740" s="8" t="s">
        <v>601</v>
      </c>
      <c r="E740" s="8" t="s">
        <v>609</v>
      </c>
      <c r="F740" s="9" t="s">
        <v>109</v>
      </c>
      <c r="G740" s="1">
        <v>7656.32</v>
      </c>
      <c r="H740" s="1">
        <v>8463</v>
      </c>
      <c r="I740" s="1">
        <v>7215.87</v>
      </c>
      <c r="J740" s="1">
        <v>5565.12</v>
      </c>
      <c r="K740" s="1">
        <v>5547.45</v>
      </c>
    </row>
    <row r="741" spans="1:11" ht="63" x14ac:dyDescent="0.25">
      <c r="A741" s="56"/>
      <c r="B741" s="76"/>
      <c r="C741" s="56"/>
      <c r="D741" s="8" t="s">
        <v>532</v>
      </c>
      <c r="E741" s="8" t="s">
        <v>701</v>
      </c>
      <c r="F741" s="9" t="s">
        <v>68</v>
      </c>
      <c r="G741" s="10">
        <v>8</v>
      </c>
      <c r="H741" s="10" t="s">
        <v>165</v>
      </c>
      <c r="I741" s="10" t="s">
        <v>165</v>
      </c>
      <c r="J741" s="10" t="s">
        <v>165</v>
      </c>
      <c r="K741" s="10" t="s">
        <v>165</v>
      </c>
    </row>
    <row r="742" spans="1:11" ht="63" x14ac:dyDescent="0.25">
      <c r="A742" s="56"/>
      <c r="B742" s="76"/>
      <c r="C742" s="56"/>
      <c r="D742" s="8" t="s">
        <v>1404</v>
      </c>
      <c r="E742" s="8" t="s">
        <v>1405</v>
      </c>
      <c r="F742" s="9" t="s">
        <v>68</v>
      </c>
      <c r="G742" s="10" t="s">
        <v>165</v>
      </c>
      <c r="H742" s="10">
        <v>32</v>
      </c>
      <c r="I742" s="10">
        <v>32</v>
      </c>
      <c r="J742" s="10">
        <v>32</v>
      </c>
      <c r="K742" s="10">
        <v>32</v>
      </c>
    </row>
    <row r="743" spans="1:11" ht="63" x14ac:dyDescent="0.25">
      <c r="A743" s="56"/>
      <c r="B743" s="76"/>
      <c r="C743" s="56"/>
      <c r="D743" s="8" t="s">
        <v>601</v>
      </c>
      <c r="E743" s="8" t="s">
        <v>609</v>
      </c>
      <c r="F743" s="9" t="s">
        <v>109</v>
      </c>
      <c r="G743" s="1">
        <v>712.23</v>
      </c>
      <c r="H743" s="1">
        <v>2912</v>
      </c>
      <c r="I743" s="1">
        <v>2482.88</v>
      </c>
      <c r="J743" s="1">
        <v>1914.88</v>
      </c>
      <c r="K743" s="1">
        <v>1908.8</v>
      </c>
    </row>
    <row r="744" spans="1:11" ht="47.25" x14ac:dyDescent="0.25">
      <c r="A744" s="56"/>
      <c r="B744" s="76"/>
      <c r="C744" s="56"/>
      <c r="D744" s="8" t="s">
        <v>532</v>
      </c>
      <c r="E744" s="8" t="s">
        <v>702</v>
      </c>
      <c r="F744" s="9" t="s">
        <v>68</v>
      </c>
      <c r="G744" s="10">
        <f>95+8</f>
        <v>103</v>
      </c>
      <c r="H744" s="10" t="s">
        <v>165</v>
      </c>
      <c r="I744" s="10" t="s">
        <v>165</v>
      </c>
      <c r="J744" s="10" t="s">
        <v>165</v>
      </c>
      <c r="K744" s="10" t="s">
        <v>165</v>
      </c>
    </row>
    <row r="745" spans="1:11" ht="31.5" x14ac:dyDescent="0.25">
      <c r="A745" s="56"/>
      <c r="B745" s="76"/>
      <c r="C745" s="56"/>
      <c r="D745" s="8" t="s">
        <v>1406</v>
      </c>
      <c r="E745" s="64" t="s">
        <v>1407</v>
      </c>
      <c r="F745" s="55" t="s">
        <v>68</v>
      </c>
      <c r="G745" s="10" t="s">
        <v>165</v>
      </c>
      <c r="H745" s="10">
        <v>79</v>
      </c>
      <c r="I745" s="10">
        <v>79</v>
      </c>
      <c r="J745" s="10">
        <v>79</v>
      </c>
      <c r="K745" s="10">
        <v>79</v>
      </c>
    </row>
    <row r="746" spans="1:11" ht="31.5" x14ac:dyDescent="0.25">
      <c r="A746" s="56"/>
      <c r="B746" s="76"/>
      <c r="C746" s="56"/>
      <c r="D746" s="8" t="s">
        <v>1408</v>
      </c>
      <c r="E746" s="65"/>
      <c r="F746" s="57"/>
      <c r="G746" s="10" t="s">
        <v>165</v>
      </c>
      <c r="H746" s="10">
        <v>22</v>
      </c>
      <c r="I746" s="10">
        <v>22</v>
      </c>
      <c r="J746" s="10">
        <v>22</v>
      </c>
      <c r="K746" s="10">
        <v>22</v>
      </c>
    </row>
    <row r="747" spans="1:11" ht="63" x14ac:dyDescent="0.25">
      <c r="A747" s="56"/>
      <c r="B747" s="76"/>
      <c r="C747" s="56"/>
      <c r="D747" s="8" t="s">
        <v>601</v>
      </c>
      <c r="E747" s="8" t="s">
        <v>609</v>
      </c>
      <c r="F747" s="9" t="s">
        <v>109</v>
      </c>
      <c r="G747" s="1">
        <f>6606.85179+1402.31805</f>
        <v>8009.1698399999996</v>
      </c>
      <c r="H747" s="1">
        <f>7189+2002</f>
        <v>9191</v>
      </c>
      <c r="I747" s="1">
        <f>6129.61+1706.98</f>
        <v>7836.59</v>
      </c>
      <c r="J747" s="1">
        <f>4727.36+1316.48</f>
        <v>6043.84</v>
      </c>
      <c r="K747" s="1">
        <f>4712.35+1312.3</f>
        <v>6024.6500000000005</v>
      </c>
    </row>
    <row r="748" spans="1:11" ht="47.25" x14ac:dyDescent="0.25">
      <c r="A748" s="56"/>
      <c r="B748" s="76"/>
      <c r="C748" s="56"/>
      <c r="D748" s="8" t="s">
        <v>532</v>
      </c>
      <c r="E748" s="8" t="s">
        <v>703</v>
      </c>
      <c r="F748" s="9" t="s">
        <v>68</v>
      </c>
      <c r="G748" s="10">
        <f>69+20</f>
        <v>89</v>
      </c>
      <c r="H748" s="10" t="s">
        <v>165</v>
      </c>
      <c r="I748" s="10" t="s">
        <v>165</v>
      </c>
      <c r="J748" s="10" t="s">
        <v>165</v>
      </c>
      <c r="K748" s="10" t="s">
        <v>165</v>
      </c>
    </row>
    <row r="749" spans="1:11" ht="31.5" x14ac:dyDescent="0.25">
      <c r="A749" s="56"/>
      <c r="B749" s="76"/>
      <c r="C749" s="56"/>
      <c r="D749" s="8" t="s">
        <v>1408</v>
      </c>
      <c r="E749" s="64" t="s">
        <v>1420</v>
      </c>
      <c r="F749" s="55" t="s">
        <v>68</v>
      </c>
      <c r="G749" s="10" t="s">
        <v>165</v>
      </c>
      <c r="H749" s="10">
        <v>76</v>
      </c>
      <c r="I749" s="10">
        <v>76</v>
      </c>
      <c r="J749" s="10">
        <v>76</v>
      </c>
      <c r="K749" s="10">
        <v>76</v>
      </c>
    </row>
    <row r="750" spans="1:11" ht="31.5" x14ac:dyDescent="0.25">
      <c r="A750" s="56"/>
      <c r="B750" s="76"/>
      <c r="C750" s="56"/>
      <c r="D750" s="8" t="s">
        <v>1421</v>
      </c>
      <c r="E750" s="65"/>
      <c r="F750" s="57"/>
      <c r="G750" s="10" t="s">
        <v>165</v>
      </c>
      <c r="H750" s="10">
        <v>20</v>
      </c>
      <c r="I750" s="10">
        <v>20</v>
      </c>
      <c r="J750" s="10">
        <v>20</v>
      </c>
      <c r="K750" s="10">
        <v>20</v>
      </c>
    </row>
    <row r="751" spans="1:11" ht="63" x14ac:dyDescent="0.25">
      <c r="A751" s="56"/>
      <c r="B751" s="76"/>
      <c r="C751" s="56"/>
      <c r="D751" s="8" t="s">
        <v>641</v>
      </c>
      <c r="E751" s="8" t="s">
        <v>609</v>
      </c>
      <c r="F751" s="9" t="s">
        <v>109</v>
      </c>
      <c r="G751" s="1">
        <f>3135.09+895.71</f>
        <v>4030.8</v>
      </c>
      <c r="H751" s="1">
        <f>6631+1745</f>
        <v>8376</v>
      </c>
      <c r="I751" s="1">
        <f>5133.8+1351</f>
        <v>6484.8</v>
      </c>
      <c r="J751" s="1">
        <f>3995.32+1051.4</f>
        <v>5046.72</v>
      </c>
      <c r="K751" s="1">
        <f>3914+1030</f>
        <v>4944</v>
      </c>
    </row>
    <row r="752" spans="1:11" ht="63" x14ac:dyDescent="0.25">
      <c r="A752" s="56"/>
      <c r="B752" s="76"/>
      <c r="C752" s="56"/>
      <c r="D752" s="8" t="s">
        <v>532</v>
      </c>
      <c r="E752" s="8" t="s">
        <v>704</v>
      </c>
      <c r="F752" s="9" t="s">
        <v>68</v>
      </c>
      <c r="G752" s="10">
        <f>71+20</f>
        <v>91</v>
      </c>
      <c r="H752" s="10" t="s">
        <v>165</v>
      </c>
      <c r="I752" s="10" t="s">
        <v>165</v>
      </c>
      <c r="J752" s="10" t="s">
        <v>165</v>
      </c>
      <c r="K752" s="10" t="s">
        <v>165</v>
      </c>
    </row>
    <row r="753" spans="1:11" ht="31.5" x14ac:dyDescent="0.25">
      <c r="A753" s="56"/>
      <c r="B753" s="76"/>
      <c r="C753" s="56"/>
      <c r="D753" s="8" t="s">
        <v>1422</v>
      </c>
      <c r="E753" s="64" t="s">
        <v>1423</v>
      </c>
      <c r="F753" s="55" t="s">
        <v>68</v>
      </c>
      <c r="G753" s="10" t="s">
        <v>165</v>
      </c>
      <c r="H753" s="10">
        <v>79</v>
      </c>
      <c r="I753" s="10">
        <v>79</v>
      </c>
      <c r="J753" s="10">
        <v>79</v>
      </c>
      <c r="K753" s="10">
        <v>79</v>
      </c>
    </row>
    <row r="754" spans="1:11" ht="31.5" x14ac:dyDescent="0.25">
      <c r="A754" s="56"/>
      <c r="B754" s="76"/>
      <c r="C754" s="56"/>
      <c r="D754" s="8" t="s">
        <v>1424</v>
      </c>
      <c r="E754" s="65"/>
      <c r="F754" s="57"/>
      <c r="G754" s="10" t="s">
        <v>165</v>
      </c>
      <c r="H754" s="10">
        <v>13</v>
      </c>
      <c r="I754" s="10">
        <v>13</v>
      </c>
      <c r="J754" s="10">
        <v>13</v>
      </c>
      <c r="K754" s="10">
        <v>13</v>
      </c>
    </row>
    <row r="755" spans="1:11" ht="63" x14ac:dyDescent="0.25">
      <c r="A755" s="56"/>
      <c r="B755" s="76"/>
      <c r="C755" s="56"/>
      <c r="D755" s="8" t="s">
        <v>641</v>
      </c>
      <c r="E755" s="8" t="s">
        <v>609</v>
      </c>
      <c r="F755" s="9" t="s">
        <v>109</v>
      </c>
      <c r="G755" s="1">
        <f>3224.61+895.71</f>
        <v>4120.32</v>
      </c>
      <c r="H755" s="1">
        <f>6892.75+1134.25</f>
        <v>8027</v>
      </c>
      <c r="I755" s="1">
        <f>5336.45+878.15</f>
        <v>6214.5999999999995</v>
      </c>
      <c r="J755" s="1">
        <f>4153.03+683.41</f>
        <v>4836.4399999999996</v>
      </c>
      <c r="K755" s="1">
        <f>4068.5+669.5</f>
        <v>4738</v>
      </c>
    </row>
    <row r="756" spans="1:11" ht="63" x14ac:dyDescent="0.25">
      <c r="A756" s="56"/>
      <c r="B756" s="76"/>
      <c r="C756" s="56"/>
      <c r="D756" s="8" t="s">
        <v>532</v>
      </c>
      <c r="E756" s="8" t="s">
        <v>707</v>
      </c>
      <c r="F756" s="9" t="s">
        <v>68</v>
      </c>
      <c r="G756" s="10">
        <v>73</v>
      </c>
      <c r="H756" s="10" t="s">
        <v>165</v>
      </c>
      <c r="I756" s="10" t="s">
        <v>165</v>
      </c>
      <c r="J756" s="10" t="s">
        <v>165</v>
      </c>
      <c r="K756" s="10" t="s">
        <v>165</v>
      </c>
    </row>
    <row r="757" spans="1:11" ht="63" customHeight="1" x14ac:dyDescent="0.25">
      <c r="A757" s="56"/>
      <c r="B757" s="76"/>
      <c r="C757" s="56"/>
      <c r="D757" s="8" t="s">
        <v>1370</v>
      </c>
      <c r="E757" s="64" t="s">
        <v>1371</v>
      </c>
      <c r="F757" s="55" t="s">
        <v>68</v>
      </c>
      <c r="G757" s="10" t="s">
        <v>165</v>
      </c>
      <c r="H757" s="10">
        <v>48</v>
      </c>
      <c r="I757" s="10">
        <v>48</v>
      </c>
      <c r="J757" s="10">
        <v>48</v>
      </c>
      <c r="K757" s="10">
        <v>48</v>
      </c>
    </row>
    <row r="758" spans="1:11" ht="31.5" x14ac:dyDescent="0.25">
      <c r="A758" s="56"/>
      <c r="B758" s="76"/>
      <c r="C758" s="56"/>
      <c r="D758" s="8" t="s">
        <v>1372</v>
      </c>
      <c r="E758" s="65"/>
      <c r="F758" s="57"/>
      <c r="G758" s="10" t="s">
        <v>165</v>
      </c>
      <c r="H758" s="10">
        <v>13</v>
      </c>
      <c r="I758" s="10">
        <v>13</v>
      </c>
      <c r="J758" s="10">
        <v>13</v>
      </c>
      <c r="K758" s="10">
        <v>13</v>
      </c>
    </row>
    <row r="759" spans="1:11" ht="63" x14ac:dyDescent="0.25">
      <c r="A759" s="56"/>
      <c r="B759" s="76"/>
      <c r="C759" s="56"/>
      <c r="D759" s="8" t="s">
        <v>641</v>
      </c>
      <c r="E759" s="8" t="s">
        <v>609</v>
      </c>
      <c r="F759" s="9" t="s">
        <v>109</v>
      </c>
      <c r="G759" s="1">
        <v>3269.44</v>
      </c>
      <c r="H759" s="1">
        <f>4188+1134.25</f>
        <v>5322.25</v>
      </c>
      <c r="I759" s="1">
        <f>3242.4+878.15</f>
        <v>4120.55</v>
      </c>
      <c r="J759" s="1">
        <f>2523.36+683.41</f>
        <v>3206.77</v>
      </c>
      <c r="K759" s="1">
        <f>2472+669.5</f>
        <v>3141.5</v>
      </c>
    </row>
    <row r="760" spans="1:11" ht="47.25" x14ac:dyDescent="0.25">
      <c r="A760" s="56"/>
      <c r="B760" s="76"/>
      <c r="C760" s="56"/>
      <c r="D760" s="8" t="s">
        <v>532</v>
      </c>
      <c r="E760" s="8" t="s">
        <v>708</v>
      </c>
      <c r="F760" s="9" t="s">
        <v>68</v>
      </c>
      <c r="G760" s="10">
        <v>27</v>
      </c>
      <c r="H760" s="10" t="s">
        <v>165</v>
      </c>
      <c r="I760" s="10" t="s">
        <v>165</v>
      </c>
      <c r="J760" s="10" t="s">
        <v>165</v>
      </c>
      <c r="K760" s="10" t="s">
        <v>165</v>
      </c>
    </row>
    <row r="761" spans="1:11" ht="47.25" x14ac:dyDescent="0.25">
      <c r="A761" s="56"/>
      <c r="B761" s="76"/>
      <c r="C761" s="56"/>
      <c r="D761" s="8" t="s">
        <v>1372</v>
      </c>
      <c r="E761" s="8" t="s">
        <v>1375</v>
      </c>
      <c r="F761" s="9" t="s">
        <v>68</v>
      </c>
      <c r="G761" s="10" t="s">
        <v>165</v>
      </c>
      <c r="H761" s="10">
        <v>25</v>
      </c>
      <c r="I761" s="10">
        <v>25</v>
      </c>
      <c r="J761" s="10">
        <v>25</v>
      </c>
      <c r="K761" s="10">
        <v>25</v>
      </c>
    </row>
    <row r="762" spans="1:11" ht="63" x14ac:dyDescent="0.25">
      <c r="A762" s="56"/>
      <c r="B762" s="76"/>
      <c r="C762" s="56"/>
      <c r="D762" s="8" t="s">
        <v>641</v>
      </c>
      <c r="E762" s="8" t="s">
        <v>609</v>
      </c>
      <c r="F762" s="9" t="s">
        <v>109</v>
      </c>
      <c r="G762" s="1">
        <v>1209.18</v>
      </c>
      <c r="H762" s="1">
        <v>2181.25</v>
      </c>
      <c r="I762" s="1">
        <v>1688.75</v>
      </c>
      <c r="J762" s="1">
        <v>1314.25</v>
      </c>
      <c r="K762" s="1">
        <v>1287.5</v>
      </c>
    </row>
    <row r="763" spans="1:11" ht="31.5" x14ac:dyDescent="0.25">
      <c r="A763" s="56"/>
      <c r="B763" s="76"/>
      <c r="C763" s="56"/>
      <c r="D763" s="8" t="s">
        <v>532</v>
      </c>
      <c r="E763" s="8" t="s">
        <v>709</v>
      </c>
      <c r="F763" s="9" t="s">
        <v>68</v>
      </c>
      <c r="G763" s="10">
        <v>27</v>
      </c>
      <c r="H763" s="10" t="s">
        <v>165</v>
      </c>
      <c r="I763" s="10" t="s">
        <v>165</v>
      </c>
      <c r="J763" s="10" t="s">
        <v>165</v>
      </c>
      <c r="K763" s="10" t="s">
        <v>165</v>
      </c>
    </row>
    <row r="764" spans="1:11" ht="47.25" x14ac:dyDescent="0.25">
      <c r="A764" s="56"/>
      <c r="B764" s="76"/>
      <c r="C764" s="56"/>
      <c r="D764" s="8" t="s">
        <v>1376</v>
      </c>
      <c r="E764" s="8" t="s">
        <v>1377</v>
      </c>
      <c r="F764" s="9" t="s">
        <v>68</v>
      </c>
      <c r="G764" s="10" t="s">
        <v>165</v>
      </c>
      <c r="H764" s="10">
        <v>19</v>
      </c>
      <c r="I764" s="10">
        <v>19</v>
      </c>
      <c r="J764" s="10">
        <v>19</v>
      </c>
      <c r="K764" s="10">
        <v>19</v>
      </c>
    </row>
    <row r="765" spans="1:11" ht="63" x14ac:dyDescent="0.25">
      <c r="A765" s="56"/>
      <c r="B765" s="76"/>
      <c r="C765" s="56"/>
      <c r="D765" s="8" t="s">
        <v>641</v>
      </c>
      <c r="E765" s="8" t="s">
        <v>609</v>
      </c>
      <c r="F765" s="9" t="s">
        <v>109</v>
      </c>
      <c r="G765" s="1">
        <v>1209.18</v>
      </c>
      <c r="H765" s="1">
        <v>1657.75</v>
      </c>
      <c r="I765" s="1">
        <v>1283.45</v>
      </c>
      <c r="J765" s="1">
        <v>998.83</v>
      </c>
      <c r="K765" s="1">
        <v>978.5</v>
      </c>
    </row>
    <row r="766" spans="1:11" ht="47.25" x14ac:dyDescent="0.25">
      <c r="A766" s="56"/>
      <c r="B766" s="76"/>
      <c r="C766" s="56"/>
      <c r="D766" s="8" t="s">
        <v>532</v>
      </c>
      <c r="E766" s="8" t="s">
        <v>710</v>
      </c>
      <c r="F766" s="9" t="s">
        <v>68</v>
      </c>
      <c r="G766" s="10">
        <v>87</v>
      </c>
      <c r="H766" s="10" t="s">
        <v>165</v>
      </c>
      <c r="I766" s="10" t="s">
        <v>165</v>
      </c>
      <c r="J766" s="10" t="s">
        <v>165</v>
      </c>
      <c r="K766" s="10" t="s">
        <v>165</v>
      </c>
    </row>
    <row r="767" spans="1:11" ht="47.25" x14ac:dyDescent="0.25">
      <c r="A767" s="56"/>
      <c r="B767" s="76"/>
      <c r="C767" s="56"/>
      <c r="D767" s="8" t="s">
        <v>1360</v>
      </c>
      <c r="E767" s="8" t="s">
        <v>1361</v>
      </c>
      <c r="F767" s="9" t="s">
        <v>68</v>
      </c>
      <c r="G767" s="10" t="s">
        <v>165</v>
      </c>
      <c r="H767" s="10">
        <v>137</v>
      </c>
      <c r="I767" s="10">
        <v>137</v>
      </c>
      <c r="J767" s="10">
        <v>137</v>
      </c>
      <c r="K767" s="10">
        <v>137</v>
      </c>
    </row>
    <row r="768" spans="1:11" ht="63" x14ac:dyDescent="0.25">
      <c r="A768" s="56"/>
      <c r="B768" s="76"/>
      <c r="C768" s="56"/>
      <c r="D768" s="8" t="s">
        <v>641</v>
      </c>
      <c r="E768" s="8" t="s">
        <v>609</v>
      </c>
      <c r="F768" s="9" t="s">
        <v>109</v>
      </c>
      <c r="G768" s="1">
        <v>3896.45</v>
      </c>
      <c r="H768" s="1">
        <v>11953.25</v>
      </c>
      <c r="I768" s="1">
        <v>9254.35</v>
      </c>
      <c r="J768" s="1">
        <v>7202.09</v>
      </c>
      <c r="K768" s="1">
        <v>7055.5</v>
      </c>
    </row>
    <row r="769" spans="1:11" ht="47.25" x14ac:dyDescent="0.25">
      <c r="A769" s="56"/>
      <c r="B769" s="76"/>
      <c r="C769" s="56"/>
      <c r="D769" s="8" t="s">
        <v>532</v>
      </c>
      <c r="E769" s="8" t="s">
        <v>711</v>
      </c>
      <c r="F769" s="9" t="s">
        <v>68</v>
      </c>
      <c r="G769" s="10">
        <v>28</v>
      </c>
      <c r="H769" s="10" t="s">
        <v>165</v>
      </c>
      <c r="I769" s="10" t="s">
        <v>165</v>
      </c>
      <c r="J769" s="10" t="s">
        <v>165</v>
      </c>
      <c r="K769" s="10" t="s">
        <v>165</v>
      </c>
    </row>
    <row r="770" spans="1:11" ht="47.25" x14ac:dyDescent="0.25">
      <c r="A770" s="56"/>
      <c r="B770" s="76"/>
      <c r="C770" s="56"/>
      <c r="D770" s="8" t="s">
        <v>1373</v>
      </c>
      <c r="E770" s="8" t="s">
        <v>1374</v>
      </c>
      <c r="F770" s="9" t="s">
        <v>68</v>
      </c>
      <c r="G770" s="10" t="s">
        <v>165</v>
      </c>
      <c r="H770" s="10">
        <v>43</v>
      </c>
      <c r="I770" s="10">
        <v>43</v>
      </c>
      <c r="J770" s="10">
        <v>43</v>
      </c>
      <c r="K770" s="10">
        <v>43</v>
      </c>
    </row>
    <row r="771" spans="1:11" ht="63" x14ac:dyDescent="0.25">
      <c r="A771" s="56"/>
      <c r="B771" s="76"/>
      <c r="C771" s="56"/>
      <c r="D771" s="8" t="s">
        <v>641</v>
      </c>
      <c r="E771" s="8" t="s">
        <v>609</v>
      </c>
      <c r="F771" s="9" t="s">
        <v>109</v>
      </c>
      <c r="G771" s="1">
        <v>2298.84</v>
      </c>
      <c r="H771" s="1">
        <v>3751.75</v>
      </c>
      <c r="I771" s="1">
        <v>2904.65</v>
      </c>
      <c r="J771" s="1">
        <v>2260.5100000000002</v>
      </c>
      <c r="K771" s="1">
        <v>2214.5</v>
      </c>
    </row>
    <row r="772" spans="1:11" ht="47.25" x14ac:dyDescent="0.25">
      <c r="A772" s="56"/>
      <c r="B772" s="76"/>
      <c r="C772" s="56"/>
      <c r="D772" s="8" t="s">
        <v>532</v>
      </c>
      <c r="E772" s="8" t="s">
        <v>712</v>
      </c>
      <c r="F772" s="9" t="s">
        <v>68</v>
      </c>
      <c r="G772" s="10">
        <v>77</v>
      </c>
      <c r="H772" s="10" t="s">
        <v>165</v>
      </c>
      <c r="I772" s="10" t="s">
        <v>165</v>
      </c>
      <c r="J772" s="10" t="s">
        <v>165</v>
      </c>
      <c r="K772" s="10" t="s">
        <v>165</v>
      </c>
    </row>
    <row r="773" spans="1:11" ht="47.25" x14ac:dyDescent="0.25">
      <c r="A773" s="56"/>
      <c r="B773" s="76"/>
      <c r="C773" s="56"/>
      <c r="D773" s="8" t="s">
        <v>1378</v>
      </c>
      <c r="E773" s="8" t="s">
        <v>1379</v>
      </c>
      <c r="F773" s="9" t="s">
        <v>68</v>
      </c>
      <c r="G773" s="10" t="s">
        <v>165</v>
      </c>
      <c r="H773" s="10">
        <v>84</v>
      </c>
      <c r="I773" s="10">
        <v>84</v>
      </c>
      <c r="J773" s="10">
        <v>84</v>
      </c>
      <c r="K773" s="10">
        <v>84</v>
      </c>
    </row>
    <row r="774" spans="1:11" ht="63" x14ac:dyDescent="0.25">
      <c r="A774" s="56"/>
      <c r="B774" s="76"/>
      <c r="C774" s="56"/>
      <c r="D774" s="8" t="s">
        <v>601</v>
      </c>
      <c r="E774" s="8" t="s">
        <v>609</v>
      </c>
      <c r="F774" s="9" t="s">
        <v>109</v>
      </c>
      <c r="G774" s="1">
        <v>6944.22</v>
      </c>
      <c r="H774" s="1">
        <v>7644</v>
      </c>
      <c r="I774" s="1">
        <v>6517.56</v>
      </c>
      <c r="J774" s="1">
        <v>5026.5600000000004</v>
      </c>
      <c r="K774" s="1">
        <v>5010.5999999999995</v>
      </c>
    </row>
    <row r="775" spans="1:11" ht="47.25" x14ac:dyDescent="0.25">
      <c r="A775" s="56"/>
      <c r="B775" s="76"/>
      <c r="C775" s="56"/>
      <c r="D775" s="8" t="s">
        <v>532</v>
      </c>
      <c r="E775" s="8" t="s">
        <v>992</v>
      </c>
      <c r="F775" s="9" t="s">
        <v>68</v>
      </c>
      <c r="G775" s="10">
        <v>8</v>
      </c>
      <c r="H775" s="10" t="s">
        <v>165</v>
      </c>
      <c r="I775" s="10" t="s">
        <v>165</v>
      </c>
      <c r="J775" s="10" t="s">
        <v>165</v>
      </c>
      <c r="K775" s="10" t="s">
        <v>165</v>
      </c>
    </row>
    <row r="776" spans="1:11" ht="63" x14ac:dyDescent="0.25">
      <c r="A776" s="56"/>
      <c r="B776" s="76"/>
      <c r="C776" s="56"/>
      <c r="D776" s="8" t="s">
        <v>1298</v>
      </c>
      <c r="E776" s="8" t="s">
        <v>1299</v>
      </c>
      <c r="F776" s="9" t="s">
        <v>68</v>
      </c>
      <c r="G776" s="10" t="s">
        <v>165</v>
      </c>
      <c r="H776" s="10">
        <v>38</v>
      </c>
      <c r="I776" s="10">
        <v>38</v>
      </c>
      <c r="J776" s="10">
        <v>38</v>
      </c>
      <c r="K776" s="10">
        <v>38</v>
      </c>
    </row>
    <row r="777" spans="1:11" ht="63" x14ac:dyDescent="0.25">
      <c r="A777" s="56"/>
      <c r="B777" s="76"/>
      <c r="C777" s="56"/>
      <c r="D777" s="8" t="s">
        <v>601</v>
      </c>
      <c r="E777" s="8" t="s">
        <v>609</v>
      </c>
      <c r="F777" s="9" t="s">
        <v>109</v>
      </c>
      <c r="G777" s="1">
        <v>712.23</v>
      </c>
      <c r="H777" s="1">
        <v>3458</v>
      </c>
      <c r="I777" s="1">
        <v>2948.42</v>
      </c>
      <c r="J777" s="1">
        <v>2273.92</v>
      </c>
      <c r="K777" s="1">
        <v>2266.6999999999998</v>
      </c>
    </row>
    <row r="778" spans="1:11" ht="78.75" x14ac:dyDescent="0.25">
      <c r="A778" s="56"/>
      <c r="B778" s="76"/>
      <c r="C778" s="56"/>
      <c r="D778" s="8" t="s">
        <v>532</v>
      </c>
      <c r="E778" s="8" t="s">
        <v>993</v>
      </c>
      <c r="F778" s="9" t="s">
        <v>68</v>
      </c>
      <c r="G778" s="10">
        <v>15</v>
      </c>
      <c r="H778" s="10" t="s">
        <v>165</v>
      </c>
      <c r="I778" s="10" t="s">
        <v>165</v>
      </c>
      <c r="J778" s="10" t="s">
        <v>165</v>
      </c>
      <c r="K778" s="10" t="s">
        <v>165</v>
      </c>
    </row>
    <row r="779" spans="1:11" ht="78.75" x14ac:dyDescent="0.25">
      <c r="A779" s="56"/>
      <c r="B779" s="76"/>
      <c r="C779" s="56"/>
      <c r="D779" s="8" t="s">
        <v>1380</v>
      </c>
      <c r="E779" s="8" t="s">
        <v>1381</v>
      </c>
      <c r="F779" s="9" t="s">
        <v>68</v>
      </c>
      <c r="G779" s="10" t="s">
        <v>165</v>
      </c>
      <c r="H779" s="10">
        <v>61</v>
      </c>
      <c r="I779" s="10">
        <v>61</v>
      </c>
      <c r="J779" s="10">
        <v>61</v>
      </c>
      <c r="K779" s="10">
        <v>61</v>
      </c>
    </row>
    <row r="780" spans="1:11" ht="63" x14ac:dyDescent="0.25">
      <c r="A780" s="56"/>
      <c r="B780" s="76"/>
      <c r="C780" s="56"/>
      <c r="D780" s="8" t="s">
        <v>601</v>
      </c>
      <c r="E780" s="8" t="s">
        <v>609</v>
      </c>
      <c r="F780" s="9" t="s">
        <v>109</v>
      </c>
      <c r="G780" s="1">
        <v>1424.46</v>
      </c>
      <c r="H780" s="1">
        <v>5551</v>
      </c>
      <c r="I780" s="1">
        <v>4732.99</v>
      </c>
      <c r="J780" s="1">
        <v>3650.2400000000002</v>
      </c>
      <c r="K780" s="1">
        <v>3638.65</v>
      </c>
    </row>
    <row r="781" spans="1:11" ht="63" x14ac:dyDescent="0.25">
      <c r="A781" s="56"/>
      <c r="B781" s="76"/>
      <c r="C781" s="56"/>
      <c r="D781" s="8" t="s">
        <v>532</v>
      </c>
      <c r="E781" s="8" t="s">
        <v>996</v>
      </c>
      <c r="F781" s="9" t="s">
        <v>68</v>
      </c>
      <c r="G781" s="10">
        <v>34</v>
      </c>
      <c r="H781" s="10" t="s">
        <v>165</v>
      </c>
      <c r="I781" s="10" t="s">
        <v>165</v>
      </c>
      <c r="J781" s="10" t="s">
        <v>165</v>
      </c>
      <c r="K781" s="10" t="s">
        <v>165</v>
      </c>
    </row>
    <row r="782" spans="1:11" ht="63" x14ac:dyDescent="0.25">
      <c r="A782" s="56"/>
      <c r="B782" s="76"/>
      <c r="C782" s="56"/>
      <c r="D782" s="8" t="s">
        <v>1409</v>
      </c>
      <c r="E782" s="8" t="s">
        <v>1410</v>
      </c>
      <c r="F782" s="9" t="s">
        <v>68</v>
      </c>
      <c r="G782" s="10" t="s">
        <v>165</v>
      </c>
      <c r="H782" s="10">
        <v>65</v>
      </c>
      <c r="I782" s="10">
        <v>65</v>
      </c>
      <c r="J782" s="10">
        <v>65</v>
      </c>
      <c r="K782" s="10">
        <v>65</v>
      </c>
    </row>
    <row r="783" spans="1:11" ht="63" x14ac:dyDescent="0.25">
      <c r="A783" s="56"/>
      <c r="B783" s="76"/>
      <c r="C783" s="56"/>
      <c r="D783" s="8" t="s">
        <v>601</v>
      </c>
      <c r="E783" s="8" t="s">
        <v>609</v>
      </c>
      <c r="F783" s="9" t="s">
        <v>109</v>
      </c>
      <c r="G783" s="1">
        <v>1974.5073400000001</v>
      </c>
      <c r="H783" s="1">
        <v>5915</v>
      </c>
      <c r="I783" s="1">
        <v>5043.3500000000004</v>
      </c>
      <c r="J783" s="1">
        <v>3889.6000000000004</v>
      </c>
      <c r="K783" s="1">
        <v>3877.25</v>
      </c>
    </row>
    <row r="784" spans="1:11" ht="31.5" x14ac:dyDescent="0.25">
      <c r="A784" s="56"/>
      <c r="B784" s="76"/>
      <c r="C784" s="56"/>
      <c r="D784" s="8" t="s">
        <v>532</v>
      </c>
      <c r="E784" s="8" t="s">
        <v>1568</v>
      </c>
      <c r="F784" s="9" t="s">
        <v>1231</v>
      </c>
      <c r="G784" s="1">
        <v>41</v>
      </c>
      <c r="H784" s="1">
        <v>0</v>
      </c>
      <c r="I784" s="1">
        <v>0</v>
      </c>
      <c r="J784" s="1">
        <v>0</v>
      </c>
      <c r="K784" s="1">
        <v>0</v>
      </c>
    </row>
    <row r="785" spans="1:11" ht="31.5" x14ac:dyDescent="0.25">
      <c r="A785" s="56"/>
      <c r="B785" s="76"/>
      <c r="C785" s="56"/>
      <c r="D785" s="8" t="s">
        <v>1569</v>
      </c>
      <c r="E785" s="8" t="s">
        <v>1567</v>
      </c>
      <c r="F785" s="9" t="s">
        <v>1231</v>
      </c>
      <c r="G785" s="1">
        <v>0</v>
      </c>
      <c r="H785" s="1">
        <v>159</v>
      </c>
      <c r="I785" s="1">
        <v>159</v>
      </c>
      <c r="J785" s="1">
        <v>159</v>
      </c>
      <c r="K785" s="1">
        <v>159</v>
      </c>
    </row>
    <row r="786" spans="1:11" ht="63" x14ac:dyDescent="0.25">
      <c r="A786" s="57"/>
      <c r="B786" s="76"/>
      <c r="C786" s="57"/>
      <c r="D786" s="8" t="s">
        <v>601</v>
      </c>
      <c r="E786" s="8" t="s">
        <v>15</v>
      </c>
      <c r="F786" s="9" t="s">
        <v>7</v>
      </c>
      <c r="G786" s="1">
        <v>3602.0095999999999</v>
      </c>
      <c r="H786" s="1">
        <v>14469</v>
      </c>
      <c r="I786" s="1">
        <v>12336.810000000001</v>
      </c>
      <c r="J786" s="1">
        <v>9514.5600000000013</v>
      </c>
      <c r="K786" s="1">
        <v>9484.35</v>
      </c>
    </row>
    <row r="787" spans="1:11" ht="99" customHeight="1" x14ac:dyDescent="0.25">
      <c r="A787" s="55" t="s">
        <v>914</v>
      </c>
      <c r="B787" s="76"/>
      <c r="C787" s="55" t="s">
        <v>603</v>
      </c>
      <c r="D787" s="8" t="s">
        <v>713</v>
      </c>
      <c r="E787" s="8" t="s">
        <v>714</v>
      </c>
      <c r="F787" s="9" t="s">
        <v>68</v>
      </c>
      <c r="G787" s="10">
        <v>25</v>
      </c>
      <c r="H787" s="10" t="s">
        <v>165</v>
      </c>
      <c r="I787" s="10" t="s">
        <v>165</v>
      </c>
      <c r="J787" s="10" t="s">
        <v>165</v>
      </c>
      <c r="K787" s="10" t="s">
        <v>165</v>
      </c>
    </row>
    <row r="788" spans="1:11" ht="63" x14ac:dyDescent="0.25">
      <c r="A788" s="56"/>
      <c r="B788" s="76"/>
      <c r="C788" s="56"/>
      <c r="D788" s="8" t="s">
        <v>601</v>
      </c>
      <c r="E788" s="8" t="s">
        <v>609</v>
      </c>
      <c r="F788" s="9" t="s">
        <v>109</v>
      </c>
      <c r="G788" s="1">
        <v>2225.67</v>
      </c>
      <c r="H788" s="1">
        <v>0</v>
      </c>
      <c r="I788" s="1">
        <v>0</v>
      </c>
      <c r="J788" s="1">
        <v>0</v>
      </c>
      <c r="K788" s="1">
        <v>0</v>
      </c>
    </row>
    <row r="789" spans="1:11" ht="63" x14ac:dyDescent="0.25">
      <c r="A789" s="56"/>
      <c r="B789" s="76"/>
      <c r="C789" s="56"/>
      <c r="D789" s="8" t="s">
        <v>713</v>
      </c>
      <c r="E789" s="8" t="s">
        <v>716</v>
      </c>
      <c r="F789" s="9" t="s">
        <v>68</v>
      </c>
      <c r="G789" s="10">
        <v>45</v>
      </c>
      <c r="H789" s="10" t="s">
        <v>165</v>
      </c>
      <c r="I789" s="10" t="s">
        <v>165</v>
      </c>
      <c r="J789" s="10" t="s">
        <v>165</v>
      </c>
      <c r="K789" s="10" t="s">
        <v>165</v>
      </c>
    </row>
    <row r="790" spans="1:11" ht="63" x14ac:dyDescent="0.25">
      <c r="A790" s="56"/>
      <c r="B790" s="76"/>
      <c r="C790" s="56"/>
      <c r="D790" s="8" t="s">
        <v>601</v>
      </c>
      <c r="E790" s="8" t="s">
        <v>609</v>
      </c>
      <c r="F790" s="9" t="s">
        <v>109</v>
      </c>
      <c r="G790" s="1">
        <v>3006.19</v>
      </c>
      <c r="H790" s="1">
        <v>0</v>
      </c>
      <c r="I790" s="1">
        <v>0</v>
      </c>
      <c r="J790" s="1">
        <v>0</v>
      </c>
      <c r="K790" s="1">
        <v>0</v>
      </c>
    </row>
    <row r="791" spans="1:11" ht="63" x14ac:dyDescent="0.25">
      <c r="A791" s="56"/>
      <c r="B791" s="76"/>
      <c r="C791" s="56"/>
      <c r="D791" s="8" t="s">
        <v>713</v>
      </c>
      <c r="E791" s="8" t="s">
        <v>715</v>
      </c>
      <c r="F791" s="9" t="s">
        <v>68</v>
      </c>
      <c r="G791" s="10">
        <v>11</v>
      </c>
      <c r="H791" s="10" t="s">
        <v>165</v>
      </c>
      <c r="I791" s="10" t="s">
        <v>165</v>
      </c>
      <c r="J791" s="10" t="s">
        <v>165</v>
      </c>
      <c r="K791" s="10" t="s">
        <v>165</v>
      </c>
    </row>
    <row r="792" spans="1:11" ht="63" x14ac:dyDescent="0.25">
      <c r="A792" s="57"/>
      <c r="B792" s="76"/>
      <c r="C792" s="57"/>
      <c r="D792" s="8" t="s">
        <v>601</v>
      </c>
      <c r="E792" s="8" t="s">
        <v>609</v>
      </c>
      <c r="F792" s="9" t="s">
        <v>109</v>
      </c>
      <c r="G792" s="1">
        <v>979.3</v>
      </c>
      <c r="H792" s="1">
        <v>0</v>
      </c>
      <c r="I792" s="1">
        <v>0</v>
      </c>
      <c r="J792" s="1">
        <v>0</v>
      </c>
      <c r="K792" s="1">
        <v>0</v>
      </c>
    </row>
    <row r="793" spans="1:11" ht="63.75" customHeight="1" x14ac:dyDescent="0.25">
      <c r="A793" s="55" t="s">
        <v>915</v>
      </c>
      <c r="B793" s="76"/>
      <c r="C793" s="55" t="s">
        <v>717</v>
      </c>
      <c r="D793" s="8" t="s">
        <v>718</v>
      </c>
      <c r="E793" s="8" t="s">
        <v>719</v>
      </c>
      <c r="F793" s="9" t="s">
        <v>68</v>
      </c>
      <c r="G793" s="10">
        <v>10</v>
      </c>
      <c r="H793" s="10" t="s">
        <v>165</v>
      </c>
      <c r="I793" s="10" t="s">
        <v>165</v>
      </c>
      <c r="J793" s="10" t="s">
        <v>165</v>
      </c>
      <c r="K793" s="10" t="s">
        <v>165</v>
      </c>
    </row>
    <row r="794" spans="1:11" ht="108" customHeight="1" x14ac:dyDescent="0.25">
      <c r="A794" s="57"/>
      <c r="B794" s="76"/>
      <c r="C794" s="57"/>
      <c r="D794" s="8" t="s">
        <v>601</v>
      </c>
      <c r="E794" s="8" t="s">
        <v>609</v>
      </c>
      <c r="F794" s="9" t="s">
        <v>109</v>
      </c>
      <c r="G794" s="1">
        <v>890.32</v>
      </c>
      <c r="H794" s="1">
        <v>0</v>
      </c>
      <c r="I794" s="1">
        <v>0</v>
      </c>
      <c r="J794" s="1">
        <v>0</v>
      </c>
      <c r="K794" s="1">
        <v>0</v>
      </c>
    </row>
    <row r="795" spans="1:11" ht="63" customHeight="1" x14ac:dyDescent="0.25">
      <c r="A795" s="55" t="s">
        <v>916</v>
      </c>
      <c r="B795" s="76"/>
      <c r="C795" s="55" t="s">
        <v>603</v>
      </c>
      <c r="D795" s="8" t="s">
        <v>720</v>
      </c>
      <c r="E795" s="8" t="s">
        <v>721</v>
      </c>
      <c r="F795" s="9" t="s">
        <v>68</v>
      </c>
      <c r="G795" s="10">
        <v>30</v>
      </c>
      <c r="H795" s="10" t="s">
        <v>165</v>
      </c>
      <c r="I795" s="10" t="s">
        <v>165</v>
      </c>
      <c r="J795" s="10" t="s">
        <v>165</v>
      </c>
      <c r="K795" s="10" t="s">
        <v>165</v>
      </c>
    </row>
    <row r="796" spans="1:11" ht="63" x14ac:dyDescent="0.25">
      <c r="A796" s="56"/>
      <c r="B796" s="76"/>
      <c r="C796" s="56"/>
      <c r="D796" s="8" t="s">
        <v>601</v>
      </c>
      <c r="E796" s="8" t="s">
        <v>609</v>
      </c>
      <c r="F796" s="9" t="s">
        <v>109</v>
      </c>
      <c r="G796" s="1">
        <v>2670.83</v>
      </c>
      <c r="H796" s="1">
        <v>0</v>
      </c>
      <c r="I796" s="1">
        <v>0</v>
      </c>
      <c r="J796" s="1">
        <v>0</v>
      </c>
      <c r="K796" s="1">
        <v>0</v>
      </c>
    </row>
    <row r="797" spans="1:11" ht="47.25" x14ac:dyDescent="0.25">
      <c r="A797" s="56"/>
      <c r="B797" s="76"/>
      <c r="C797" s="56"/>
      <c r="D797" s="8" t="s">
        <v>720</v>
      </c>
      <c r="E797" s="8" t="s">
        <v>722</v>
      </c>
      <c r="F797" s="9" t="s">
        <v>68</v>
      </c>
      <c r="G797" s="10">
        <v>13</v>
      </c>
      <c r="H797" s="10" t="s">
        <v>165</v>
      </c>
      <c r="I797" s="10" t="s">
        <v>165</v>
      </c>
      <c r="J797" s="10" t="s">
        <v>165</v>
      </c>
      <c r="K797" s="10" t="s">
        <v>165</v>
      </c>
    </row>
    <row r="798" spans="1:11" ht="63" x14ac:dyDescent="0.25">
      <c r="A798" s="57"/>
      <c r="B798" s="76"/>
      <c r="C798" s="57"/>
      <c r="D798" s="8" t="s">
        <v>601</v>
      </c>
      <c r="E798" s="8" t="s">
        <v>609</v>
      </c>
      <c r="F798" s="9" t="s">
        <v>109</v>
      </c>
      <c r="G798" s="1">
        <v>1157.3900000000001</v>
      </c>
      <c r="H798" s="1">
        <v>0</v>
      </c>
      <c r="I798" s="1">
        <v>0</v>
      </c>
      <c r="J798" s="1">
        <v>0</v>
      </c>
      <c r="K798" s="1">
        <v>0</v>
      </c>
    </row>
    <row r="799" spans="1:11" ht="47.25" x14ac:dyDescent="0.25">
      <c r="A799" s="55" t="s">
        <v>917</v>
      </c>
      <c r="B799" s="76"/>
      <c r="C799" s="55" t="s">
        <v>603</v>
      </c>
      <c r="D799" s="8" t="s">
        <v>723</v>
      </c>
      <c r="E799" s="8" t="s">
        <v>724</v>
      </c>
      <c r="F799" s="9" t="s">
        <v>68</v>
      </c>
      <c r="G799" s="10">
        <v>37</v>
      </c>
      <c r="H799" s="10" t="s">
        <v>165</v>
      </c>
      <c r="I799" s="10" t="s">
        <v>165</v>
      </c>
      <c r="J799" s="10" t="s">
        <v>165</v>
      </c>
      <c r="K799" s="10" t="s">
        <v>165</v>
      </c>
    </row>
    <row r="800" spans="1:11" ht="63" x14ac:dyDescent="0.25">
      <c r="A800" s="56"/>
      <c r="B800" s="76"/>
      <c r="C800" s="56"/>
      <c r="D800" s="8" t="s">
        <v>601</v>
      </c>
      <c r="E800" s="8" t="s">
        <v>609</v>
      </c>
      <c r="F800" s="9" t="s">
        <v>109</v>
      </c>
      <c r="G800" s="1">
        <v>3294.08</v>
      </c>
      <c r="H800" s="1">
        <v>0</v>
      </c>
      <c r="I800" s="1">
        <v>0</v>
      </c>
      <c r="J800" s="1">
        <v>0</v>
      </c>
      <c r="K800" s="1">
        <v>0</v>
      </c>
    </row>
    <row r="801" spans="1:11" ht="47.25" x14ac:dyDescent="0.25">
      <c r="A801" s="56"/>
      <c r="B801" s="76"/>
      <c r="C801" s="56"/>
      <c r="D801" s="8" t="s">
        <v>723</v>
      </c>
      <c r="E801" s="8" t="s">
        <v>725</v>
      </c>
      <c r="F801" s="9" t="s">
        <v>68</v>
      </c>
      <c r="G801" s="10">
        <v>10</v>
      </c>
      <c r="H801" s="10" t="s">
        <v>165</v>
      </c>
      <c r="I801" s="10" t="s">
        <v>165</v>
      </c>
      <c r="J801" s="10" t="s">
        <v>165</v>
      </c>
      <c r="K801" s="10" t="s">
        <v>165</v>
      </c>
    </row>
    <row r="802" spans="1:11" ht="63" x14ac:dyDescent="0.25">
      <c r="A802" s="57"/>
      <c r="B802" s="76"/>
      <c r="C802" s="57"/>
      <c r="D802" s="8" t="s">
        <v>601</v>
      </c>
      <c r="E802" s="8" t="s">
        <v>609</v>
      </c>
      <c r="F802" s="9" t="s">
        <v>109</v>
      </c>
      <c r="G802" s="1">
        <v>890.32</v>
      </c>
      <c r="H802" s="1">
        <v>0</v>
      </c>
      <c r="I802" s="1">
        <v>0</v>
      </c>
      <c r="J802" s="1">
        <v>0</v>
      </c>
      <c r="K802" s="1">
        <v>0</v>
      </c>
    </row>
    <row r="803" spans="1:11" ht="78.75" customHeight="1" x14ac:dyDescent="0.25">
      <c r="A803" s="55" t="s">
        <v>918</v>
      </c>
      <c r="B803" s="76"/>
      <c r="C803" s="55" t="s">
        <v>603</v>
      </c>
      <c r="D803" s="8" t="s">
        <v>726</v>
      </c>
      <c r="E803" s="8" t="s">
        <v>727</v>
      </c>
      <c r="F803" s="9" t="s">
        <v>68</v>
      </c>
      <c r="G803" s="10">
        <v>12</v>
      </c>
      <c r="H803" s="10" t="s">
        <v>165</v>
      </c>
      <c r="I803" s="10" t="s">
        <v>165</v>
      </c>
      <c r="J803" s="10" t="s">
        <v>165</v>
      </c>
      <c r="K803" s="10" t="s">
        <v>165</v>
      </c>
    </row>
    <row r="804" spans="1:11" ht="63" x14ac:dyDescent="0.25">
      <c r="A804" s="56"/>
      <c r="B804" s="76"/>
      <c r="C804" s="56"/>
      <c r="D804" s="8" t="s">
        <v>601</v>
      </c>
      <c r="E804" s="8" t="s">
        <v>609</v>
      </c>
      <c r="F804" s="9" t="s">
        <v>109</v>
      </c>
      <c r="G804" s="1">
        <v>1068.28</v>
      </c>
      <c r="H804" s="1">
        <v>0</v>
      </c>
      <c r="I804" s="1">
        <v>0</v>
      </c>
      <c r="J804" s="1">
        <v>0</v>
      </c>
      <c r="K804" s="1">
        <v>0</v>
      </c>
    </row>
    <row r="805" spans="1:11" ht="47.25" x14ac:dyDescent="0.25">
      <c r="A805" s="56"/>
      <c r="B805" s="76"/>
      <c r="C805" s="56"/>
      <c r="D805" s="8" t="s">
        <v>726</v>
      </c>
      <c r="E805" s="8" t="s">
        <v>728</v>
      </c>
      <c r="F805" s="9" t="s">
        <v>68</v>
      </c>
      <c r="G805" s="10">
        <v>31</v>
      </c>
      <c r="H805" s="10" t="s">
        <v>165</v>
      </c>
      <c r="I805" s="10" t="s">
        <v>165</v>
      </c>
      <c r="J805" s="10" t="s">
        <v>165</v>
      </c>
      <c r="K805" s="10" t="s">
        <v>165</v>
      </c>
    </row>
    <row r="806" spans="1:11" ht="63" x14ac:dyDescent="0.25">
      <c r="A806" s="56"/>
      <c r="B806" s="76"/>
      <c r="C806" s="56"/>
      <c r="D806" s="8" t="s">
        <v>601</v>
      </c>
      <c r="E806" s="8" t="s">
        <v>609</v>
      </c>
      <c r="F806" s="9" t="s">
        <v>109</v>
      </c>
      <c r="G806" s="1">
        <v>1859.81</v>
      </c>
      <c r="H806" s="1">
        <v>0</v>
      </c>
      <c r="I806" s="1">
        <v>0</v>
      </c>
      <c r="J806" s="1">
        <v>0</v>
      </c>
      <c r="K806" s="1">
        <v>0</v>
      </c>
    </row>
    <row r="807" spans="1:11" ht="63" x14ac:dyDescent="0.25">
      <c r="A807" s="56"/>
      <c r="B807" s="76"/>
      <c r="C807" s="56"/>
      <c r="D807" s="8" t="s">
        <v>726</v>
      </c>
      <c r="E807" s="8" t="s">
        <v>729</v>
      </c>
      <c r="F807" s="9" t="s">
        <v>68</v>
      </c>
      <c r="G807" s="10">
        <v>17</v>
      </c>
      <c r="H807" s="10" t="s">
        <v>165</v>
      </c>
      <c r="I807" s="10" t="s">
        <v>165</v>
      </c>
      <c r="J807" s="10" t="s">
        <v>165</v>
      </c>
      <c r="K807" s="10" t="s">
        <v>165</v>
      </c>
    </row>
    <row r="808" spans="1:11" ht="63" x14ac:dyDescent="0.25">
      <c r="A808" s="56"/>
      <c r="B808" s="76"/>
      <c r="C808" s="56"/>
      <c r="D808" s="8" t="s">
        <v>601</v>
      </c>
      <c r="E808" s="8" t="s">
        <v>609</v>
      </c>
      <c r="F808" s="9" t="s">
        <v>109</v>
      </c>
      <c r="G808" s="1">
        <v>1513.44</v>
      </c>
      <c r="H808" s="1">
        <v>0</v>
      </c>
      <c r="I808" s="1">
        <v>0</v>
      </c>
      <c r="J808" s="1">
        <v>0</v>
      </c>
      <c r="K808" s="1">
        <v>0</v>
      </c>
    </row>
    <row r="809" spans="1:11" ht="47.25" x14ac:dyDescent="0.25">
      <c r="A809" s="56"/>
      <c r="B809" s="76"/>
      <c r="C809" s="56"/>
      <c r="D809" s="8" t="s">
        <v>726</v>
      </c>
      <c r="E809" s="8" t="s">
        <v>730</v>
      </c>
      <c r="F809" s="9" t="s">
        <v>68</v>
      </c>
      <c r="G809" s="10">
        <v>44</v>
      </c>
      <c r="H809" s="10" t="s">
        <v>165</v>
      </c>
      <c r="I809" s="10" t="s">
        <v>165</v>
      </c>
      <c r="J809" s="10" t="s">
        <v>165</v>
      </c>
      <c r="K809" s="10" t="s">
        <v>165</v>
      </c>
    </row>
    <row r="810" spans="1:11" ht="63" x14ac:dyDescent="0.25">
      <c r="A810" s="57"/>
      <c r="B810" s="76"/>
      <c r="C810" s="57"/>
      <c r="D810" s="8" t="s">
        <v>601</v>
      </c>
      <c r="E810" s="8" t="s">
        <v>609</v>
      </c>
      <c r="F810" s="9" t="s">
        <v>109</v>
      </c>
      <c r="G810" s="1">
        <v>3828.1</v>
      </c>
      <c r="H810" s="1">
        <v>0</v>
      </c>
      <c r="I810" s="1">
        <v>0</v>
      </c>
      <c r="J810" s="1">
        <v>0</v>
      </c>
      <c r="K810" s="1">
        <v>0</v>
      </c>
    </row>
    <row r="811" spans="1:11" ht="73.5" customHeight="1" x14ac:dyDescent="0.25">
      <c r="A811" s="55" t="s">
        <v>919</v>
      </c>
      <c r="B811" s="76"/>
      <c r="C811" s="55" t="s">
        <v>731</v>
      </c>
      <c r="D811" s="8" t="s">
        <v>732</v>
      </c>
      <c r="E811" s="8" t="s">
        <v>602</v>
      </c>
      <c r="F811" s="9" t="s">
        <v>68</v>
      </c>
      <c r="G811" s="10">
        <v>40</v>
      </c>
      <c r="H811" s="10" t="s">
        <v>165</v>
      </c>
      <c r="I811" s="10" t="s">
        <v>165</v>
      </c>
      <c r="J811" s="10" t="s">
        <v>165</v>
      </c>
      <c r="K811" s="10" t="s">
        <v>165</v>
      </c>
    </row>
    <row r="812" spans="1:11" ht="117" customHeight="1" x14ac:dyDescent="0.25">
      <c r="A812" s="57"/>
      <c r="B812" s="76"/>
      <c r="C812" s="57"/>
      <c r="D812" s="8" t="s">
        <v>601</v>
      </c>
      <c r="E812" s="8" t="s">
        <v>609</v>
      </c>
      <c r="F812" s="9" t="s">
        <v>109</v>
      </c>
      <c r="G812" s="1">
        <v>3739.24</v>
      </c>
      <c r="H812" s="1">
        <v>0</v>
      </c>
      <c r="I812" s="1">
        <v>0</v>
      </c>
      <c r="J812" s="1">
        <v>0</v>
      </c>
      <c r="K812" s="1">
        <v>0</v>
      </c>
    </row>
    <row r="813" spans="1:11" ht="65.25" customHeight="1" x14ac:dyDescent="0.25">
      <c r="A813" s="55" t="s">
        <v>920</v>
      </c>
      <c r="B813" s="76"/>
      <c r="C813" s="55" t="s">
        <v>733</v>
      </c>
      <c r="D813" s="8" t="s">
        <v>734</v>
      </c>
      <c r="E813" s="8" t="s">
        <v>602</v>
      </c>
      <c r="F813" s="9" t="s">
        <v>68</v>
      </c>
      <c r="G813" s="10">
        <v>70</v>
      </c>
      <c r="H813" s="10" t="s">
        <v>165</v>
      </c>
      <c r="I813" s="10" t="s">
        <v>165</v>
      </c>
      <c r="J813" s="10" t="s">
        <v>165</v>
      </c>
      <c r="K813" s="10" t="s">
        <v>165</v>
      </c>
    </row>
    <row r="814" spans="1:11" ht="77.25" customHeight="1" x14ac:dyDescent="0.25">
      <c r="A814" s="57"/>
      <c r="B814" s="76"/>
      <c r="C814" s="57"/>
      <c r="D814" s="8" t="s">
        <v>601</v>
      </c>
      <c r="E814" s="8" t="s">
        <v>609</v>
      </c>
      <c r="F814" s="9" t="s">
        <v>109</v>
      </c>
      <c r="G814" s="1">
        <v>5677.15</v>
      </c>
      <c r="H814" s="1">
        <v>0</v>
      </c>
      <c r="I814" s="1">
        <v>0</v>
      </c>
      <c r="J814" s="1">
        <v>0</v>
      </c>
      <c r="K814" s="1">
        <v>0</v>
      </c>
    </row>
    <row r="815" spans="1:11" ht="53.25" customHeight="1" x14ac:dyDescent="0.25">
      <c r="A815" s="55" t="s">
        <v>921</v>
      </c>
      <c r="B815" s="76"/>
      <c r="C815" s="55" t="s">
        <v>735</v>
      </c>
      <c r="D815" s="8" t="s">
        <v>736</v>
      </c>
      <c r="E815" s="8" t="s">
        <v>719</v>
      </c>
      <c r="F815" s="9" t="s">
        <v>68</v>
      </c>
      <c r="G815" s="10">
        <v>16</v>
      </c>
      <c r="H815" s="10" t="s">
        <v>165</v>
      </c>
      <c r="I815" s="10" t="s">
        <v>165</v>
      </c>
      <c r="J815" s="10" t="s">
        <v>165</v>
      </c>
      <c r="K815" s="10" t="s">
        <v>165</v>
      </c>
    </row>
    <row r="816" spans="1:11" ht="90" customHeight="1" x14ac:dyDescent="0.25">
      <c r="A816" s="57"/>
      <c r="B816" s="76"/>
      <c r="C816" s="57"/>
      <c r="D816" s="8" t="s">
        <v>601</v>
      </c>
      <c r="E816" s="8" t="s">
        <v>609</v>
      </c>
      <c r="F816" s="9" t="s">
        <v>109</v>
      </c>
      <c r="G816" s="1">
        <v>1424.46</v>
      </c>
      <c r="H816" s="1">
        <v>0</v>
      </c>
      <c r="I816" s="1">
        <v>0</v>
      </c>
      <c r="J816" s="1">
        <v>0</v>
      </c>
      <c r="K816" s="1">
        <v>0</v>
      </c>
    </row>
    <row r="817" spans="1:11" ht="45.75" customHeight="1" x14ac:dyDescent="0.25">
      <c r="A817" s="55" t="s">
        <v>922</v>
      </c>
      <c r="B817" s="76"/>
      <c r="C817" s="55" t="s">
        <v>656</v>
      </c>
      <c r="D817" s="8" t="s">
        <v>737</v>
      </c>
      <c r="E817" s="8" t="s">
        <v>738</v>
      </c>
      <c r="F817" s="9" t="s">
        <v>68</v>
      </c>
      <c r="G817" s="10">
        <v>17</v>
      </c>
      <c r="H817" s="10" t="s">
        <v>165</v>
      </c>
      <c r="I817" s="10" t="s">
        <v>165</v>
      </c>
      <c r="J817" s="10" t="s">
        <v>165</v>
      </c>
      <c r="K817" s="10" t="s">
        <v>165</v>
      </c>
    </row>
    <row r="818" spans="1:11" ht="63" x14ac:dyDescent="0.25">
      <c r="A818" s="56"/>
      <c r="B818" s="76"/>
      <c r="C818" s="56"/>
      <c r="D818" s="8" t="s">
        <v>601</v>
      </c>
      <c r="E818" s="8" t="s">
        <v>609</v>
      </c>
      <c r="F818" s="9" t="s">
        <v>109</v>
      </c>
      <c r="G818" s="1">
        <v>1513.44</v>
      </c>
      <c r="H818" s="1">
        <v>0</v>
      </c>
      <c r="I818" s="1">
        <v>0</v>
      </c>
      <c r="J818" s="1">
        <v>0</v>
      </c>
      <c r="K818" s="1">
        <v>0</v>
      </c>
    </row>
    <row r="819" spans="1:11" ht="47.25" x14ac:dyDescent="0.25">
      <c r="A819" s="56"/>
      <c r="B819" s="76"/>
      <c r="C819" s="56"/>
      <c r="D819" s="8" t="s">
        <v>737</v>
      </c>
      <c r="E819" s="8" t="s">
        <v>739</v>
      </c>
      <c r="F819" s="9" t="s">
        <v>68</v>
      </c>
      <c r="G819" s="10">
        <v>26</v>
      </c>
      <c r="H819" s="10" t="s">
        <v>165</v>
      </c>
      <c r="I819" s="10" t="s">
        <v>165</v>
      </c>
      <c r="J819" s="10" t="s">
        <v>165</v>
      </c>
      <c r="K819" s="10" t="s">
        <v>165</v>
      </c>
    </row>
    <row r="820" spans="1:11" ht="63" x14ac:dyDescent="0.25">
      <c r="A820" s="57"/>
      <c r="B820" s="76"/>
      <c r="C820" s="57"/>
      <c r="D820" s="8" t="s">
        <v>601</v>
      </c>
      <c r="E820" s="8" t="s">
        <v>609</v>
      </c>
      <c r="F820" s="9" t="s">
        <v>109</v>
      </c>
      <c r="G820" s="1">
        <v>2314.7800000000002</v>
      </c>
      <c r="H820" s="1">
        <v>0</v>
      </c>
      <c r="I820" s="1">
        <v>0</v>
      </c>
      <c r="J820" s="1">
        <v>0</v>
      </c>
      <c r="K820" s="1">
        <v>0</v>
      </c>
    </row>
    <row r="821" spans="1:11" ht="80.25" customHeight="1" x14ac:dyDescent="0.25">
      <c r="A821" s="55" t="s">
        <v>923</v>
      </c>
      <c r="B821" s="76"/>
      <c r="C821" s="55" t="s">
        <v>740</v>
      </c>
      <c r="D821" s="8" t="s">
        <v>743</v>
      </c>
      <c r="E821" s="8" t="s">
        <v>719</v>
      </c>
      <c r="F821" s="9" t="s">
        <v>68</v>
      </c>
      <c r="G821" s="10">
        <v>9</v>
      </c>
      <c r="H821" s="10" t="s">
        <v>165</v>
      </c>
      <c r="I821" s="10" t="s">
        <v>165</v>
      </c>
      <c r="J821" s="10" t="s">
        <v>165</v>
      </c>
      <c r="K821" s="10" t="s">
        <v>165</v>
      </c>
    </row>
    <row r="822" spans="1:11" ht="63" x14ac:dyDescent="0.25">
      <c r="A822" s="57"/>
      <c r="B822" s="76"/>
      <c r="C822" s="57"/>
      <c r="D822" s="8" t="s">
        <v>601</v>
      </c>
      <c r="E822" s="8" t="s">
        <v>609</v>
      </c>
      <c r="F822" s="9" t="s">
        <v>109</v>
      </c>
      <c r="G822" s="1">
        <v>801.21</v>
      </c>
      <c r="H822" s="1">
        <v>0</v>
      </c>
      <c r="I822" s="1">
        <v>0</v>
      </c>
      <c r="J822" s="1">
        <v>0</v>
      </c>
      <c r="K822" s="1">
        <v>0</v>
      </c>
    </row>
    <row r="823" spans="1:11" ht="78.75" customHeight="1" x14ac:dyDescent="0.25">
      <c r="A823" s="55" t="s">
        <v>924</v>
      </c>
      <c r="B823" s="76"/>
      <c r="C823" s="55" t="s">
        <v>741</v>
      </c>
      <c r="D823" s="8" t="s">
        <v>742</v>
      </c>
      <c r="E823" s="8" t="s">
        <v>719</v>
      </c>
      <c r="F823" s="9" t="s">
        <v>68</v>
      </c>
      <c r="G823" s="10">
        <v>9</v>
      </c>
      <c r="H823" s="10" t="s">
        <v>165</v>
      </c>
      <c r="I823" s="10" t="s">
        <v>165</v>
      </c>
      <c r="J823" s="10" t="s">
        <v>165</v>
      </c>
      <c r="K823" s="10" t="s">
        <v>165</v>
      </c>
    </row>
    <row r="824" spans="1:11" ht="97.5" customHeight="1" x14ac:dyDescent="0.25">
      <c r="A824" s="57"/>
      <c r="B824" s="76"/>
      <c r="C824" s="57"/>
      <c r="D824" s="8" t="s">
        <v>601</v>
      </c>
      <c r="E824" s="8" t="s">
        <v>609</v>
      </c>
      <c r="F824" s="9" t="s">
        <v>109</v>
      </c>
      <c r="G824" s="1">
        <v>801.21</v>
      </c>
      <c r="H824" s="1">
        <v>0</v>
      </c>
      <c r="I824" s="1">
        <v>0</v>
      </c>
      <c r="J824" s="1">
        <v>0</v>
      </c>
      <c r="K824" s="1">
        <v>0</v>
      </c>
    </row>
    <row r="825" spans="1:11" ht="34.5" customHeight="1" x14ac:dyDescent="0.25">
      <c r="A825" s="55" t="s">
        <v>925</v>
      </c>
      <c r="B825" s="76"/>
      <c r="C825" s="55" t="s">
        <v>656</v>
      </c>
      <c r="D825" s="8" t="s">
        <v>744</v>
      </c>
      <c r="E825" s="8" t="s">
        <v>745</v>
      </c>
      <c r="F825" s="9" t="s">
        <v>68</v>
      </c>
      <c r="G825" s="10">
        <v>30</v>
      </c>
      <c r="H825" s="10" t="s">
        <v>165</v>
      </c>
      <c r="I825" s="10" t="s">
        <v>165</v>
      </c>
      <c r="J825" s="10" t="s">
        <v>165</v>
      </c>
      <c r="K825" s="10" t="s">
        <v>165</v>
      </c>
    </row>
    <row r="826" spans="1:11" ht="63" x14ac:dyDescent="0.25">
      <c r="A826" s="56"/>
      <c r="B826" s="76"/>
      <c r="C826" s="56"/>
      <c r="D826" s="8" t="s">
        <v>601</v>
      </c>
      <c r="E826" s="8" t="s">
        <v>609</v>
      </c>
      <c r="F826" s="9" t="s">
        <v>109</v>
      </c>
      <c r="G826" s="1">
        <v>2670.83</v>
      </c>
      <c r="H826" s="1">
        <v>0</v>
      </c>
      <c r="I826" s="1">
        <v>0</v>
      </c>
      <c r="J826" s="1">
        <v>0</v>
      </c>
      <c r="K826" s="1">
        <v>0</v>
      </c>
    </row>
    <row r="827" spans="1:11" ht="63" x14ac:dyDescent="0.25">
      <c r="A827" s="56"/>
      <c r="B827" s="76"/>
      <c r="C827" s="56"/>
      <c r="D827" s="8" t="s">
        <v>744</v>
      </c>
      <c r="E827" s="8" t="s">
        <v>746</v>
      </c>
      <c r="F827" s="9" t="s">
        <v>68</v>
      </c>
      <c r="G827" s="10">
        <v>11</v>
      </c>
      <c r="H827" s="10" t="s">
        <v>165</v>
      </c>
      <c r="I827" s="10" t="s">
        <v>165</v>
      </c>
      <c r="J827" s="10" t="s">
        <v>165</v>
      </c>
      <c r="K827" s="10" t="s">
        <v>165</v>
      </c>
    </row>
    <row r="828" spans="1:11" ht="63" x14ac:dyDescent="0.25">
      <c r="A828" s="56"/>
      <c r="B828" s="76"/>
      <c r="C828" s="56"/>
      <c r="D828" s="8" t="s">
        <v>601</v>
      </c>
      <c r="E828" s="8" t="s">
        <v>609</v>
      </c>
      <c r="F828" s="9" t="s">
        <v>109</v>
      </c>
      <c r="G828" s="1">
        <v>730.12876000000006</v>
      </c>
      <c r="H828" s="1">
        <v>0</v>
      </c>
      <c r="I828" s="1">
        <v>0</v>
      </c>
      <c r="J828" s="1">
        <v>0</v>
      </c>
      <c r="K828" s="1">
        <v>0</v>
      </c>
    </row>
    <row r="829" spans="1:11" ht="31.5" x14ac:dyDescent="0.25">
      <c r="A829" s="56"/>
      <c r="B829" s="76"/>
      <c r="C829" s="56"/>
      <c r="D829" s="8" t="s">
        <v>744</v>
      </c>
      <c r="E829" s="8" t="s">
        <v>747</v>
      </c>
      <c r="F829" s="9" t="s">
        <v>68</v>
      </c>
      <c r="G829" s="10">
        <v>11</v>
      </c>
      <c r="H829" s="10" t="s">
        <v>165</v>
      </c>
      <c r="I829" s="10" t="s">
        <v>165</v>
      </c>
      <c r="J829" s="10" t="s">
        <v>165</v>
      </c>
      <c r="K829" s="10" t="s">
        <v>165</v>
      </c>
    </row>
    <row r="830" spans="1:11" ht="63" x14ac:dyDescent="0.25">
      <c r="A830" s="56"/>
      <c r="B830" s="76"/>
      <c r="C830" s="56"/>
      <c r="D830" s="8" t="s">
        <v>601</v>
      </c>
      <c r="E830" s="8" t="s">
        <v>609</v>
      </c>
      <c r="F830" s="9" t="s">
        <v>109</v>
      </c>
      <c r="G830" s="1">
        <v>979.3</v>
      </c>
      <c r="H830" s="1">
        <v>0</v>
      </c>
      <c r="I830" s="1">
        <v>0</v>
      </c>
      <c r="J830" s="1">
        <v>0</v>
      </c>
      <c r="K830" s="1">
        <v>0</v>
      </c>
    </row>
    <row r="831" spans="1:11" ht="31.5" x14ac:dyDescent="0.25">
      <c r="A831" s="56"/>
      <c r="B831" s="76"/>
      <c r="C831" s="56"/>
      <c r="D831" s="8" t="s">
        <v>744</v>
      </c>
      <c r="E831" s="8" t="s">
        <v>748</v>
      </c>
      <c r="F831" s="9" t="s">
        <v>68</v>
      </c>
      <c r="G831" s="10">
        <v>19</v>
      </c>
      <c r="H831" s="10" t="s">
        <v>165</v>
      </c>
      <c r="I831" s="10" t="s">
        <v>165</v>
      </c>
      <c r="J831" s="10" t="s">
        <v>165</v>
      </c>
      <c r="K831" s="10" t="s">
        <v>165</v>
      </c>
    </row>
    <row r="832" spans="1:11" ht="63" x14ac:dyDescent="0.25">
      <c r="A832" s="57"/>
      <c r="B832" s="76"/>
      <c r="C832" s="57"/>
      <c r="D832" s="8" t="s">
        <v>601</v>
      </c>
      <c r="E832" s="8" t="s">
        <v>609</v>
      </c>
      <c r="F832" s="9" t="s">
        <v>109</v>
      </c>
      <c r="G832" s="1">
        <v>1691.53</v>
      </c>
      <c r="H832" s="1">
        <v>0</v>
      </c>
      <c r="I832" s="1">
        <v>0</v>
      </c>
      <c r="J832" s="1">
        <v>0</v>
      </c>
      <c r="K832" s="1">
        <v>0</v>
      </c>
    </row>
    <row r="833" spans="1:11" ht="60" customHeight="1" x14ac:dyDescent="0.25">
      <c r="A833" s="55" t="s">
        <v>926</v>
      </c>
      <c r="B833" s="76"/>
      <c r="C833" s="55" t="s">
        <v>749</v>
      </c>
      <c r="D833" s="8" t="s">
        <v>995</v>
      </c>
      <c r="E833" s="8" t="s">
        <v>719</v>
      </c>
      <c r="F833" s="9" t="s">
        <v>68</v>
      </c>
      <c r="G833" s="10">
        <v>7</v>
      </c>
      <c r="H833" s="10" t="s">
        <v>165</v>
      </c>
      <c r="I833" s="10" t="s">
        <v>165</v>
      </c>
      <c r="J833" s="10" t="s">
        <v>165</v>
      </c>
      <c r="K833" s="10" t="s">
        <v>165</v>
      </c>
    </row>
    <row r="834" spans="1:11" ht="67.5" customHeight="1" x14ac:dyDescent="0.25">
      <c r="A834" s="57"/>
      <c r="B834" s="76"/>
      <c r="C834" s="57"/>
      <c r="D834" s="8" t="s">
        <v>601</v>
      </c>
      <c r="E834" s="8" t="s">
        <v>609</v>
      </c>
      <c r="F834" s="9" t="s">
        <v>109</v>
      </c>
      <c r="G834" s="1">
        <v>623.12</v>
      </c>
      <c r="H834" s="1">
        <v>0</v>
      </c>
      <c r="I834" s="1">
        <v>0</v>
      </c>
      <c r="J834" s="1">
        <v>0</v>
      </c>
      <c r="K834" s="1">
        <v>0</v>
      </c>
    </row>
    <row r="835" spans="1:11" ht="54.75" customHeight="1" x14ac:dyDescent="0.25">
      <c r="A835" s="55" t="s">
        <v>927</v>
      </c>
      <c r="B835" s="76"/>
      <c r="C835" s="55" t="s">
        <v>656</v>
      </c>
      <c r="D835" s="8" t="s">
        <v>750</v>
      </c>
      <c r="E835" s="8" t="s">
        <v>751</v>
      </c>
      <c r="F835" s="9" t="s">
        <v>68</v>
      </c>
      <c r="G835" s="10">
        <v>49</v>
      </c>
      <c r="H835" s="10" t="s">
        <v>165</v>
      </c>
      <c r="I835" s="10" t="s">
        <v>165</v>
      </c>
      <c r="J835" s="10" t="s">
        <v>165</v>
      </c>
      <c r="K835" s="10" t="s">
        <v>165</v>
      </c>
    </row>
    <row r="836" spans="1:11" ht="63" x14ac:dyDescent="0.25">
      <c r="A836" s="56"/>
      <c r="B836" s="76"/>
      <c r="C836" s="56"/>
      <c r="D836" s="8" t="s">
        <v>601</v>
      </c>
      <c r="E836" s="8" t="s">
        <v>609</v>
      </c>
      <c r="F836" s="9" t="s">
        <v>109</v>
      </c>
      <c r="G836" s="1">
        <v>4362.3599999999997</v>
      </c>
      <c r="H836" s="1">
        <v>0</v>
      </c>
      <c r="I836" s="1">
        <v>0</v>
      </c>
      <c r="J836" s="1">
        <v>0</v>
      </c>
      <c r="K836" s="1">
        <v>0</v>
      </c>
    </row>
    <row r="837" spans="1:11" ht="47.25" x14ac:dyDescent="0.25">
      <c r="A837" s="56"/>
      <c r="B837" s="76"/>
      <c r="C837" s="56"/>
      <c r="D837" s="8" t="s">
        <v>750</v>
      </c>
      <c r="E837" s="8" t="s">
        <v>752</v>
      </c>
      <c r="F837" s="9" t="s">
        <v>68</v>
      </c>
      <c r="G837" s="10">
        <v>15</v>
      </c>
      <c r="H837" s="10" t="s">
        <v>165</v>
      </c>
      <c r="I837" s="10" t="s">
        <v>165</v>
      </c>
      <c r="J837" s="10" t="s">
        <v>165</v>
      </c>
      <c r="K837" s="10" t="s">
        <v>165</v>
      </c>
    </row>
    <row r="838" spans="1:11" ht="63" x14ac:dyDescent="0.25">
      <c r="A838" s="56"/>
      <c r="B838" s="76"/>
      <c r="C838" s="56"/>
      <c r="D838" s="8" t="s">
        <v>601</v>
      </c>
      <c r="E838" s="8" t="s">
        <v>609</v>
      </c>
      <c r="F838" s="9" t="s">
        <v>109</v>
      </c>
      <c r="G838" s="1">
        <v>1335.35</v>
      </c>
      <c r="H838" s="1">
        <v>0</v>
      </c>
      <c r="I838" s="1">
        <v>0</v>
      </c>
      <c r="J838" s="1">
        <v>0</v>
      </c>
      <c r="K838" s="1">
        <v>0</v>
      </c>
    </row>
    <row r="839" spans="1:11" ht="47.25" x14ac:dyDescent="0.25">
      <c r="A839" s="56"/>
      <c r="B839" s="76"/>
      <c r="C839" s="56"/>
      <c r="D839" s="8" t="s">
        <v>750</v>
      </c>
      <c r="E839" s="8" t="s">
        <v>753</v>
      </c>
      <c r="F839" s="9" t="s">
        <v>68</v>
      </c>
      <c r="G839" s="10">
        <v>11</v>
      </c>
      <c r="H839" s="10" t="s">
        <v>165</v>
      </c>
      <c r="I839" s="10" t="s">
        <v>165</v>
      </c>
      <c r="J839" s="10" t="s">
        <v>165</v>
      </c>
      <c r="K839" s="10" t="s">
        <v>165</v>
      </c>
    </row>
    <row r="840" spans="1:11" ht="63" x14ac:dyDescent="0.25">
      <c r="A840" s="56"/>
      <c r="B840" s="76"/>
      <c r="C840" s="56"/>
      <c r="D840" s="8" t="s">
        <v>601</v>
      </c>
      <c r="E840" s="8" t="s">
        <v>609</v>
      </c>
      <c r="F840" s="9" t="s">
        <v>109</v>
      </c>
      <c r="G840" s="1">
        <v>979.3</v>
      </c>
      <c r="H840" s="1">
        <v>0</v>
      </c>
      <c r="I840" s="1">
        <v>0</v>
      </c>
      <c r="J840" s="1">
        <v>0</v>
      </c>
      <c r="K840" s="1">
        <v>0</v>
      </c>
    </row>
    <row r="841" spans="1:11" ht="47.25" x14ac:dyDescent="0.25">
      <c r="A841" s="56"/>
      <c r="B841" s="76"/>
      <c r="C841" s="56"/>
      <c r="D841" s="8" t="s">
        <v>750</v>
      </c>
      <c r="E841" s="8" t="s">
        <v>754</v>
      </c>
      <c r="F841" s="9" t="s">
        <v>68</v>
      </c>
      <c r="G841" s="10">
        <v>51</v>
      </c>
      <c r="H841" s="10">
        <v>18</v>
      </c>
      <c r="I841" s="10">
        <v>18</v>
      </c>
      <c r="J841" s="10">
        <v>18</v>
      </c>
      <c r="K841" s="10">
        <v>18</v>
      </c>
    </row>
    <row r="842" spans="1:11" ht="63" x14ac:dyDescent="0.25">
      <c r="A842" s="57"/>
      <c r="B842" s="76"/>
      <c r="C842" s="57"/>
      <c r="D842" s="8" t="s">
        <v>641</v>
      </c>
      <c r="E842" s="8" t="s">
        <v>609</v>
      </c>
      <c r="F842" s="9" t="s">
        <v>109</v>
      </c>
      <c r="G842" s="1">
        <v>2284.08</v>
      </c>
      <c r="H842" s="1">
        <v>1570.5</v>
      </c>
      <c r="I842" s="1">
        <v>1215.8999999999999</v>
      </c>
      <c r="J842" s="1">
        <v>946.26</v>
      </c>
      <c r="K842" s="1">
        <v>927</v>
      </c>
    </row>
    <row r="843" spans="1:11" ht="52.5" customHeight="1" x14ac:dyDescent="0.25">
      <c r="A843" s="55" t="s">
        <v>928</v>
      </c>
      <c r="B843" s="76"/>
      <c r="C843" s="55" t="s">
        <v>656</v>
      </c>
      <c r="D843" s="8" t="s">
        <v>755</v>
      </c>
      <c r="E843" s="8" t="s">
        <v>756</v>
      </c>
      <c r="F843" s="9" t="s">
        <v>68</v>
      </c>
      <c r="G843" s="10">
        <v>11</v>
      </c>
      <c r="H843" s="10" t="s">
        <v>165</v>
      </c>
      <c r="I843" s="10" t="s">
        <v>165</v>
      </c>
      <c r="J843" s="10" t="s">
        <v>165</v>
      </c>
      <c r="K843" s="10" t="s">
        <v>165</v>
      </c>
    </row>
    <row r="844" spans="1:11" ht="63" x14ac:dyDescent="0.25">
      <c r="A844" s="56"/>
      <c r="B844" s="76"/>
      <c r="C844" s="56"/>
      <c r="D844" s="8" t="s">
        <v>601</v>
      </c>
      <c r="E844" s="8" t="s">
        <v>609</v>
      </c>
      <c r="F844" s="9" t="s">
        <v>109</v>
      </c>
      <c r="G844" s="1">
        <v>979.3</v>
      </c>
      <c r="H844" s="1">
        <v>0</v>
      </c>
      <c r="I844" s="1">
        <v>0</v>
      </c>
      <c r="J844" s="1">
        <v>0</v>
      </c>
      <c r="K844" s="1">
        <v>0</v>
      </c>
    </row>
    <row r="845" spans="1:11" ht="47.25" x14ac:dyDescent="0.25">
      <c r="A845" s="56"/>
      <c r="B845" s="76"/>
      <c r="C845" s="56"/>
      <c r="D845" s="8" t="s">
        <v>755</v>
      </c>
      <c r="E845" s="8" t="s">
        <v>757</v>
      </c>
      <c r="F845" s="9" t="s">
        <v>68</v>
      </c>
      <c r="G845" s="10">
        <v>9</v>
      </c>
      <c r="H845" s="10" t="s">
        <v>165</v>
      </c>
      <c r="I845" s="10" t="s">
        <v>165</v>
      </c>
      <c r="J845" s="10" t="s">
        <v>165</v>
      </c>
      <c r="K845" s="10" t="s">
        <v>165</v>
      </c>
    </row>
    <row r="846" spans="1:11" ht="63" x14ac:dyDescent="0.25">
      <c r="A846" s="57"/>
      <c r="B846" s="76"/>
      <c r="C846" s="57"/>
      <c r="D846" s="8" t="s">
        <v>601</v>
      </c>
      <c r="E846" s="8" t="s">
        <v>609</v>
      </c>
      <c r="F846" s="9" t="s">
        <v>109</v>
      </c>
      <c r="G846" s="1">
        <v>801.21</v>
      </c>
      <c r="H846" s="1">
        <v>0</v>
      </c>
      <c r="I846" s="1">
        <v>0</v>
      </c>
      <c r="J846" s="1">
        <v>0</v>
      </c>
      <c r="K846" s="1">
        <v>0</v>
      </c>
    </row>
    <row r="847" spans="1:11" ht="103.5" customHeight="1" x14ac:dyDescent="0.25">
      <c r="A847" s="55" t="s">
        <v>929</v>
      </c>
      <c r="B847" s="76"/>
      <c r="C847" s="55" t="s">
        <v>656</v>
      </c>
      <c r="D847" s="8" t="s">
        <v>758</v>
      </c>
      <c r="E847" s="8" t="s">
        <v>759</v>
      </c>
      <c r="F847" s="9" t="s">
        <v>68</v>
      </c>
      <c r="G847" s="10">
        <v>12</v>
      </c>
      <c r="H847" s="10" t="s">
        <v>165</v>
      </c>
      <c r="I847" s="10" t="s">
        <v>165</v>
      </c>
      <c r="J847" s="10" t="s">
        <v>165</v>
      </c>
      <c r="K847" s="10" t="s">
        <v>165</v>
      </c>
    </row>
    <row r="848" spans="1:11" ht="63" x14ac:dyDescent="0.25">
      <c r="A848" s="56"/>
      <c r="B848" s="76"/>
      <c r="C848" s="56"/>
      <c r="D848" s="8" t="s">
        <v>601</v>
      </c>
      <c r="E848" s="8" t="s">
        <v>609</v>
      </c>
      <c r="F848" s="9" t="s">
        <v>109</v>
      </c>
      <c r="G848" s="1">
        <v>1068.28</v>
      </c>
      <c r="H848" s="1">
        <v>0</v>
      </c>
      <c r="I848" s="1">
        <v>0</v>
      </c>
      <c r="J848" s="1">
        <v>0</v>
      </c>
      <c r="K848" s="1">
        <v>0</v>
      </c>
    </row>
    <row r="849" spans="1:11" ht="63" x14ac:dyDescent="0.25">
      <c r="A849" s="56"/>
      <c r="B849" s="76"/>
      <c r="C849" s="56"/>
      <c r="D849" s="8" t="s">
        <v>758</v>
      </c>
      <c r="E849" s="8" t="s">
        <v>760</v>
      </c>
      <c r="F849" s="9" t="s">
        <v>68</v>
      </c>
      <c r="G849" s="10">
        <v>44</v>
      </c>
      <c r="H849" s="10" t="s">
        <v>165</v>
      </c>
      <c r="I849" s="10" t="s">
        <v>165</v>
      </c>
      <c r="J849" s="10" t="s">
        <v>165</v>
      </c>
      <c r="K849" s="10" t="s">
        <v>165</v>
      </c>
    </row>
    <row r="850" spans="1:11" ht="63" x14ac:dyDescent="0.25">
      <c r="A850" s="56"/>
      <c r="B850" s="76"/>
      <c r="C850" s="56"/>
      <c r="D850" s="8" t="s">
        <v>601</v>
      </c>
      <c r="E850" s="8" t="s">
        <v>609</v>
      </c>
      <c r="F850" s="9" t="s">
        <v>109</v>
      </c>
      <c r="G850" s="1">
        <v>3915.9929999999999</v>
      </c>
      <c r="H850" s="1">
        <v>0</v>
      </c>
      <c r="I850" s="1">
        <v>0</v>
      </c>
      <c r="J850" s="1">
        <v>0</v>
      </c>
      <c r="K850" s="1">
        <v>0</v>
      </c>
    </row>
    <row r="851" spans="1:11" ht="31.5" x14ac:dyDescent="0.25">
      <c r="A851" s="56"/>
      <c r="B851" s="76"/>
      <c r="C851" s="56"/>
      <c r="D851" s="8" t="s">
        <v>758</v>
      </c>
      <c r="E851" s="8" t="s">
        <v>761</v>
      </c>
      <c r="F851" s="9" t="s">
        <v>68</v>
      </c>
      <c r="G851" s="10">
        <v>14</v>
      </c>
      <c r="H851" s="10" t="s">
        <v>165</v>
      </c>
      <c r="I851" s="10" t="s">
        <v>165</v>
      </c>
      <c r="J851" s="10" t="s">
        <v>165</v>
      </c>
      <c r="K851" s="10" t="s">
        <v>165</v>
      </c>
    </row>
    <row r="852" spans="1:11" ht="63" x14ac:dyDescent="0.25">
      <c r="A852" s="56"/>
      <c r="B852" s="76"/>
      <c r="C852" s="56"/>
      <c r="D852" s="8" t="s">
        <v>601</v>
      </c>
      <c r="E852" s="8" t="s">
        <v>609</v>
      </c>
      <c r="F852" s="9" t="s">
        <v>109</v>
      </c>
      <c r="G852" s="1">
        <v>1246.5</v>
      </c>
      <c r="H852" s="1">
        <v>0</v>
      </c>
      <c r="I852" s="1">
        <v>0</v>
      </c>
      <c r="J852" s="1">
        <v>0</v>
      </c>
      <c r="K852" s="1">
        <v>0</v>
      </c>
    </row>
    <row r="853" spans="1:11" ht="94.5" x14ac:dyDescent="0.25">
      <c r="A853" s="56"/>
      <c r="B853" s="76"/>
      <c r="C853" s="56"/>
      <c r="D853" s="8" t="s">
        <v>758</v>
      </c>
      <c r="E853" s="8" t="s">
        <v>762</v>
      </c>
      <c r="F853" s="9" t="s">
        <v>68</v>
      </c>
      <c r="G853" s="10">
        <v>11</v>
      </c>
      <c r="H853" s="10" t="s">
        <v>165</v>
      </c>
      <c r="I853" s="10" t="s">
        <v>165</v>
      </c>
      <c r="J853" s="10" t="s">
        <v>165</v>
      </c>
      <c r="K853" s="10" t="s">
        <v>165</v>
      </c>
    </row>
    <row r="854" spans="1:11" ht="63" x14ac:dyDescent="0.25">
      <c r="A854" s="56"/>
      <c r="B854" s="76"/>
      <c r="C854" s="56"/>
      <c r="D854" s="8" t="s">
        <v>601</v>
      </c>
      <c r="E854" s="8" t="s">
        <v>609</v>
      </c>
      <c r="F854" s="9" t="s">
        <v>109</v>
      </c>
      <c r="G854" s="1">
        <v>979.3</v>
      </c>
      <c r="H854" s="1">
        <v>0</v>
      </c>
      <c r="I854" s="1">
        <v>0</v>
      </c>
      <c r="J854" s="1">
        <v>0</v>
      </c>
      <c r="K854" s="1">
        <v>0</v>
      </c>
    </row>
    <row r="855" spans="1:11" ht="63" x14ac:dyDescent="0.25">
      <c r="A855" s="56"/>
      <c r="B855" s="76"/>
      <c r="C855" s="56"/>
      <c r="D855" s="8" t="s">
        <v>758</v>
      </c>
      <c r="E855" s="8" t="s">
        <v>763</v>
      </c>
      <c r="F855" s="9" t="s">
        <v>68</v>
      </c>
      <c r="G855" s="10">
        <v>13</v>
      </c>
      <c r="H855" s="10" t="s">
        <v>165</v>
      </c>
      <c r="I855" s="10" t="s">
        <v>165</v>
      </c>
      <c r="J855" s="10" t="s">
        <v>165</v>
      </c>
      <c r="K855" s="10" t="s">
        <v>165</v>
      </c>
    </row>
    <row r="856" spans="1:11" ht="63" x14ac:dyDescent="0.25">
      <c r="A856" s="57"/>
      <c r="B856" s="76"/>
      <c r="C856" s="57"/>
      <c r="D856" s="8" t="s">
        <v>601</v>
      </c>
      <c r="E856" s="8" t="s">
        <v>609</v>
      </c>
      <c r="F856" s="9" t="s">
        <v>109</v>
      </c>
      <c r="G856" s="1">
        <v>1157.3900000000001</v>
      </c>
      <c r="H856" s="1">
        <v>0</v>
      </c>
      <c r="I856" s="1">
        <v>0</v>
      </c>
      <c r="J856" s="1">
        <v>0</v>
      </c>
      <c r="K856" s="1">
        <v>0</v>
      </c>
    </row>
    <row r="857" spans="1:11" ht="45.75" customHeight="1" x14ac:dyDescent="0.25">
      <c r="A857" s="55" t="s">
        <v>930</v>
      </c>
      <c r="B857" s="76"/>
      <c r="C857" s="55" t="s">
        <v>764</v>
      </c>
      <c r="D857" s="55" t="s">
        <v>765</v>
      </c>
      <c r="E857" s="8" t="s">
        <v>1427</v>
      </c>
      <c r="F857" s="9" t="s">
        <v>459</v>
      </c>
      <c r="G857" s="10">
        <v>16146</v>
      </c>
      <c r="H857" s="10">
        <v>0</v>
      </c>
      <c r="I857" s="10">
        <v>0</v>
      </c>
      <c r="J857" s="10">
        <v>0</v>
      </c>
      <c r="K857" s="10">
        <v>0</v>
      </c>
    </row>
    <row r="858" spans="1:11" ht="33.75" customHeight="1" x14ac:dyDescent="0.25">
      <c r="A858" s="56"/>
      <c r="B858" s="76"/>
      <c r="C858" s="56"/>
      <c r="D858" s="56"/>
      <c r="E858" s="23" t="s">
        <v>1428</v>
      </c>
      <c r="F858" s="24" t="s">
        <v>459</v>
      </c>
      <c r="G858" s="10">
        <f>34398+33852+7452+9600+2650</f>
        <v>87952</v>
      </c>
      <c r="H858" s="10">
        <v>0</v>
      </c>
      <c r="I858" s="10">
        <v>0</v>
      </c>
      <c r="J858" s="10">
        <v>0</v>
      </c>
      <c r="K858" s="10">
        <v>0</v>
      </c>
    </row>
    <row r="859" spans="1:11" ht="69" customHeight="1" x14ac:dyDescent="0.25">
      <c r="A859" s="56"/>
      <c r="B859" s="76"/>
      <c r="C859" s="56"/>
      <c r="D859" s="56"/>
      <c r="E859" s="23" t="s">
        <v>1429</v>
      </c>
      <c r="F859" s="24" t="s">
        <v>459</v>
      </c>
      <c r="G859" s="10">
        <v>17550</v>
      </c>
      <c r="H859" s="10">
        <v>0</v>
      </c>
      <c r="I859" s="10">
        <v>0</v>
      </c>
      <c r="J859" s="10">
        <v>0</v>
      </c>
      <c r="K859" s="10">
        <v>0</v>
      </c>
    </row>
    <row r="860" spans="1:11" ht="33" customHeight="1" x14ac:dyDescent="0.25">
      <c r="A860" s="56"/>
      <c r="B860" s="76"/>
      <c r="C860" s="56"/>
      <c r="D860" s="56"/>
      <c r="E860" s="23" t="s">
        <v>1430</v>
      </c>
      <c r="F860" s="24" t="s">
        <v>459</v>
      </c>
      <c r="G860" s="10">
        <v>11232</v>
      </c>
      <c r="H860" s="10">
        <v>0</v>
      </c>
      <c r="I860" s="10">
        <v>0</v>
      </c>
      <c r="J860" s="10">
        <v>0</v>
      </c>
      <c r="K860" s="10">
        <v>0</v>
      </c>
    </row>
    <row r="861" spans="1:11" ht="53.25" customHeight="1" x14ac:dyDescent="0.25">
      <c r="A861" s="56"/>
      <c r="B861" s="76"/>
      <c r="C861" s="56"/>
      <c r="D861" s="56"/>
      <c r="E861" s="23" t="s">
        <v>1431</v>
      </c>
      <c r="F861" s="24" t="s">
        <v>459</v>
      </c>
      <c r="G861" s="10">
        <v>12636</v>
      </c>
      <c r="H861" s="10">
        <v>0</v>
      </c>
      <c r="I861" s="10">
        <v>0</v>
      </c>
      <c r="J861" s="10">
        <v>0</v>
      </c>
      <c r="K861" s="10">
        <v>0</v>
      </c>
    </row>
    <row r="862" spans="1:11" ht="38.25" customHeight="1" x14ac:dyDescent="0.25">
      <c r="A862" s="56"/>
      <c r="B862" s="76"/>
      <c r="C862" s="56"/>
      <c r="D862" s="56"/>
      <c r="E862" s="23" t="s">
        <v>1432</v>
      </c>
      <c r="F862" s="24" t="s">
        <v>459</v>
      </c>
      <c r="G862" s="10">
        <f>24300+6300</f>
        <v>30600</v>
      </c>
      <c r="H862" s="10">
        <v>0</v>
      </c>
      <c r="I862" s="10">
        <v>0</v>
      </c>
      <c r="J862" s="10">
        <v>0</v>
      </c>
      <c r="K862" s="10">
        <v>0</v>
      </c>
    </row>
    <row r="863" spans="1:11" ht="67.5" customHeight="1" x14ac:dyDescent="0.25">
      <c r="A863" s="56"/>
      <c r="B863" s="76"/>
      <c r="C863" s="56"/>
      <c r="D863" s="56"/>
      <c r="E863" s="23" t="s">
        <v>1433</v>
      </c>
      <c r="F863" s="24" t="s">
        <v>459</v>
      </c>
      <c r="G863" s="10">
        <f>6300+6300</f>
        <v>12600</v>
      </c>
      <c r="H863" s="10">
        <v>0</v>
      </c>
      <c r="I863" s="10">
        <v>0</v>
      </c>
      <c r="J863" s="10">
        <v>0</v>
      </c>
      <c r="K863" s="10">
        <v>0</v>
      </c>
    </row>
    <row r="864" spans="1:11" ht="30.75" customHeight="1" x14ac:dyDescent="0.25">
      <c r="A864" s="56"/>
      <c r="B864" s="76"/>
      <c r="C864" s="56"/>
      <c r="D864" s="56"/>
      <c r="E864" s="23" t="s">
        <v>1434</v>
      </c>
      <c r="F864" s="24" t="s">
        <v>459</v>
      </c>
      <c r="G864" s="10">
        <f>35689+5120+3216+9750</f>
        <v>53775</v>
      </c>
      <c r="H864" s="10">
        <v>0</v>
      </c>
      <c r="I864" s="10">
        <v>0</v>
      </c>
      <c r="J864" s="10">
        <v>0</v>
      </c>
      <c r="K864" s="10">
        <v>0</v>
      </c>
    </row>
    <row r="865" spans="1:11" ht="36" customHeight="1" x14ac:dyDescent="0.25">
      <c r="A865" s="56"/>
      <c r="B865" s="76"/>
      <c r="C865" s="56"/>
      <c r="D865" s="56"/>
      <c r="E865" s="23" t="s">
        <v>1435</v>
      </c>
      <c r="F865" s="24" t="s">
        <v>459</v>
      </c>
      <c r="G865" s="10">
        <f>35689+6240+7020</f>
        <v>48949</v>
      </c>
      <c r="H865" s="10">
        <v>0</v>
      </c>
      <c r="I865" s="10">
        <v>0</v>
      </c>
      <c r="J865" s="10">
        <v>0</v>
      </c>
      <c r="K865" s="10">
        <v>0</v>
      </c>
    </row>
    <row r="866" spans="1:11" ht="36" customHeight="1" x14ac:dyDescent="0.25">
      <c r="A866" s="56"/>
      <c r="B866" s="76"/>
      <c r="C866" s="56"/>
      <c r="D866" s="56"/>
      <c r="E866" s="23" t="s">
        <v>1436</v>
      </c>
      <c r="F866" s="24" t="s">
        <v>459</v>
      </c>
      <c r="G866" s="10">
        <f>33852+23088</f>
        <v>56940</v>
      </c>
      <c r="H866" s="10">
        <v>0</v>
      </c>
      <c r="I866" s="10">
        <v>0</v>
      </c>
      <c r="J866" s="10">
        <v>0</v>
      </c>
      <c r="K866" s="10">
        <v>0</v>
      </c>
    </row>
    <row r="867" spans="1:11" ht="51" customHeight="1" x14ac:dyDescent="0.25">
      <c r="A867" s="56"/>
      <c r="B867" s="76"/>
      <c r="C867" s="56"/>
      <c r="D867" s="56"/>
      <c r="E867" s="23" t="s">
        <v>1437</v>
      </c>
      <c r="F867" s="24" t="s">
        <v>459</v>
      </c>
      <c r="G867" s="10">
        <v>33852</v>
      </c>
      <c r="H867" s="10">
        <v>0</v>
      </c>
      <c r="I867" s="10">
        <v>0</v>
      </c>
      <c r="J867" s="10">
        <v>0</v>
      </c>
      <c r="K867" s="10">
        <v>0</v>
      </c>
    </row>
    <row r="868" spans="1:11" ht="68.25" customHeight="1" x14ac:dyDescent="0.25">
      <c r="A868" s="56"/>
      <c r="B868" s="76"/>
      <c r="C868" s="56"/>
      <c r="D868" s="56"/>
      <c r="E868" s="23" t="s">
        <v>1438</v>
      </c>
      <c r="F868" s="24" t="s">
        <v>459</v>
      </c>
      <c r="G868" s="10">
        <f>200+2823</f>
        <v>3023</v>
      </c>
      <c r="H868" s="10">
        <v>0</v>
      </c>
      <c r="I868" s="10">
        <v>0</v>
      </c>
      <c r="J868" s="10">
        <v>0</v>
      </c>
      <c r="K868" s="10">
        <v>0</v>
      </c>
    </row>
    <row r="869" spans="1:11" ht="48" customHeight="1" x14ac:dyDescent="0.25">
      <c r="A869" s="56"/>
      <c r="B869" s="76"/>
      <c r="C869" s="56"/>
      <c r="D869" s="56"/>
      <c r="E869" s="23" t="s">
        <v>1439</v>
      </c>
      <c r="F869" s="24" t="s">
        <v>459</v>
      </c>
      <c r="G869" s="10">
        <f>2040+5294+5475+4380</f>
        <v>17189</v>
      </c>
      <c r="H869" s="10">
        <v>0</v>
      </c>
      <c r="I869" s="10">
        <v>0</v>
      </c>
      <c r="J869" s="10">
        <v>0</v>
      </c>
      <c r="K869" s="10">
        <v>0</v>
      </c>
    </row>
    <row r="870" spans="1:11" ht="68.25" customHeight="1" x14ac:dyDescent="0.25">
      <c r="A870" s="56"/>
      <c r="B870" s="76"/>
      <c r="C870" s="56"/>
      <c r="D870" s="56"/>
      <c r="E870" s="23" t="s">
        <v>1440</v>
      </c>
      <c r="F870" s="24" t="s">
        <v>459</v>
      </c>
      <c r="G870" s="10">
        <v>17550</v>
      </c>
      <c r="H870" s="10">
        <v>0</v>
      </c>
      <c r="I870" s="10">
        <v>0</v>
      </c>
      <c r="J870" s="10">
        <v>0</v>
      </c>
      <c r="K870" s="10">
        <v>0</v>
      </c>
    </row>
    <row r="871" spans="1:11" ht="51" customHeight="1" x14ac:dyDescent="0.25">
      <c r="A871" s="56"/>
      <c r="B871" s="76"/>
      <c r="C871" s="56"/>
      <c r="D871" s="56"/>
      <c r="E871" s="23" t="s">
        <v>1441</v>
      </c>
      <c r="F871" s="24" t="s">
        <v>459</v>
      </c>
      <c r="G871" s="10">
        <f>58500+5120+8320</f>
        <v>71940</v>
      </c>
      <c r="H871" s="10">
        <v>0</v>
      </c>
      <c r="I871" s="10">
        <v>0</v>
      </c>
      <c r="J871" s="10">
        <v>0</v>
      </c>
      <c r="K871" s="10">
        <v>0</v>
      </c>
    </row>
    <row r="872" spans="1:11" ht="38.25" customHeight="1" x14ac:dyDescent="0.25">
      <c r="A872" s="56"/>
      <c r="B872" s="76"/>
      <c r="C872" s="56"/>
      <c r="D872" s="56"/>
      <c r="E872" s="23" t="s">
        <v>1442</v>
      </c>
      <c r="F872" s="24" t="s">
        <v>459</v>
      </c>
      <c r="G872" s="10">
        <v>5120</v>
      </c>
      <c r="H872" s="10">
        <v>0</v>
      </c>
      <c r="I872" s="10">
        <v>0</v>
      </c>
      <c r="J872" s="10">
        <v>0</v>
      </c>
      <c r="K872" s="10">
        <v>0</v>
      </c>
    </row>
    <row r="873" spans="1:11" ht="32.25" customHeight="1" x14ac:dyDescent="0.25">
      <c r="A873" s="56"/>
      <c r="B873" s="76"/>
      <c r="C873" s="56"/>
      <c r="D873" s="56"/>
      <c r="E873" s="23" t="s">
        <v>1443</v>
      </c>
      <c r="F873" s="24" t="s">
        <v>459</v>
      </c>
      <c r="G873" s="10">
        <v>3942</v>
      </c>
      <c r="H873" s="10">
        <v>0</v>
      </c>
      <c r="I873" s="10">
        <v>0</v>
      </c>
      <c r="J873" s="10">
        <v>0</v>
      </c>
      <c r="K873" s="10">
        <v>0</v>
      </c>
    </row>
    <row r="874" spans="1:11" ht="32.25" customHeight="1" x14ac:dyDescent="0.25">
      <c r="A874" s="56"/>
      <c r="B874" s="76"/>
      <c r="C874" s="56"/>
      <c r="D874" s="56"/>
      <c r="E874" s="23" t="s">
        <v>1444</v>
      </c>
      <c r="F874" s="24" t="s">
        <v>459</v>
      </c>
      <c r="G874" s="10">
        <v>11680</v>
      </c>
      <c r="H874" s="10">
        <v>0</v>
      </c>
      <c r="I874" s="10">
        <v>0</v>
      </c>
      <c r="J874" s="10">
        <v>0</v>
      </c>
      <c r="K874" s="10">
        <v>0</v>
      </c>
    </row>
    <row r="875" spans="1:11" ht="35.25" customHeight="1" x14ac:dyDescent="0.25">
      <c r="A875" s="56"/>
      <c r="B875" s="76"/>
      <c r="C875" s="56"/>
      <c r="D875" s="56"/>
      <c r="E875" s="23" t="s">
        <v>1445</v>
      </c>
      <c r="F875" s="24" t="s">
        <v>459</v>
      </c>
      <c r="G875" s="10">
        <f>4347+4260</f>
        <v>8607</v>
      </c>
      <c r="H875" s="10">
        <v>0</v>
      </c>
      <c r="I875" s="10">
        <v>0</v>
      </c>
      <c r="J875" s="10">
        <v>0</v>
      </c>
      <c r="K875" s="10">
        <v>0</v>
      </c>
    </row>
    <row r="876" spans="1:11" ht="33" customHeight="1" x14ac:dyDescent="0.25">
      <c r="A876" s="56"/>
      <c r="B876" s="76"/>
      <c r="C876" s="56"/>
      <c r="D876" s="57"/>
      <c r="E876" s="23" t="s">
        <v>1446</v>
      </c>
      <c r="F876" s="24" t="s">
        <v>459</v>
      </c>
      <c r="G876" s="10">
        <v>3408</v>
      </c>
      <c r="H876" s="10">
        <v>0</v>
      </c>
      <c r="I876" s="10">
        <v>0</v>
      </c>
      <c r="J876" s="10">
        <v>0</v>
      </c>
      <c r="K876" s="10">
        <v>0</v>
      </c>
    </row>
    <row r="877" spans="1:11" ht="36" customHeight="1" x14ac:dyDescent="0.25">
      <c r="A877" s="56"/>
      <c r="B877" s="76"/>
      <c r="C877" s="56"/>
      <c r="D877" s="8" t="s">
        <v>705</v>
      </c>
      <c r="E877" s="64" t="s">
        <v>609</v>
      </c>
      <c r="F877" s="55" t="s">
        <v>109</v>
      </c>
      <c r="G877" s="1">
        <v>37699.379999999997</v>
      </c>
      <c r="H877" s="1">
        <v>0</v>
      </c>
      <c r="I877" s="1">
        <v>0</v>
      </c>
      <c r="J877" s="1">
        <v>0</v>
      </c>
      <c r="K877" s="1">
        <v>0</v>
      </c>
    </row>
    <row r="878" spans="1:11" ht="32.25" customHeight="1" x14ac:dyDescent="0.25">
      <c r="A878" s="56"/>
      <c r="B878" s="76"/>
      <c r="C878" s="56"/>
      <c r="D878" s="8" t="s">
        <v>706</v>
      </c>
      <c r="E878" s="65"/>
      <c r="F878" s="57"/>
      <c r="G878" s="1">
        <v>187.13</v>
      </c>
      <c r="H878" s="1">
        <v>0</v>
      </c>
      <c r="I878" s="1">
        <v>0</v>
      </c>
      <c r="J878" s="1">
        <v>0</v>
      </c>
      <c r="K878" s="1">
        <v>0</v>
      </c>
    </row>
    <row r="879" spans="1:11" ht="32.25" customHeight="1" x14ac:dyDescent="0.25">
      <c r="A879" s="56"/>
      <c r="B879" s="76"/>
      <c r="C879" s="56"/>
      <c r="D879" s="64" t="s">
        <v>1447</v>
      </c>
      <c r="E879" s="49" t="s">
        <v>1448</v>
      </c>
      <c r="F879" s="51" t="s">
        <v>459</v>
      </c>
      <c r="G879" s="10">
        <v>0</v>
      </c>
      <c r="H879" s="1">
        <v>5508</v>
      </c>
      <c r="I879" s="1">
        <v>5508</v>
      </c>
      <c r="J879" s="1">
        <v>5508</v>
      </c>
      <c r="K879" s="1">
        <v>5508</v>
      </c>
    </row>
    <row r="880" spans="1:11" ht="32.25" customHeight="1" x14ac:dyDescent="0.25">
      <c r="A880" s="56"/>
      <c r="B880" s="76"/>
      <c r="C880" s="56"/>
      <c r="D880" s="71"/>
      <c r="E880" s="49" t="s">
        <v>1434</v>
      </c>
      <c r="F880" s="51" t="s">
        <v>459</v>
      </c>
      <c r="G880" s="10">
        <v>0</v>
      </c>
      <c r="H880" s="1">
        <v>52358</v>
      </c>
      <c r="I880" s="1">
        <v>52358</v>
      </c>
      <c r="J880" s="1">
        <v>52358</v>
      </c>
      <c r="K880" s="1">
        <v>52358</v>
      </c>
    </row>
    <row r="881" spans="1:11" ht="32.25" customHeight="1" x14ac:dyDescent="0.25">
      <c r="A881" s="56"/>
      <c r="B881" s="76"/>
      <c r="C881" s="56"/>
      <c r="D881" s="71"/>
      <c r="E881" s="49" t="s">
        <v>1435</v>
      </c>
      <c r="F881" s="51" t="s">
        <v>459</v>
      </c>
      <c r="G881" s="10">
        <v>0</v>
      </c>
      <c r="H881" s="1">
        <v>22119</v>
      </c>
      <c r="I881" s="1">
        <v>22119</v>
      </c>
      <c r="J881" s="1">
        <v>22119</v>
      </c>
      <c r="K881" s="1">
        <v>22119</v>
      </c>
    </row>
    <row r="882" spans="1:11" ht="32.25" customHeight="1" x14ac:dyDescent="0.25">
      <c r="A882" s="56"/>
      <c r="B882" s="76"/>
      <c r="C882" s="56"/>
      <c r="D882" s="71"/>
      <c r="E882" s="49" t="s">
        <v>1430</v>
      </c>
      <c r="F882" s="51" t="s">
        <v>459</v>
      </c>
      <c r="G882" s="10">
        <v>0</v>
      </c>
      <c r="H882" s="1">
        <v>4380</v>
      </c>
      <c r="I882" s="1">
        <v>4380</v>
      </c>
      <c r="J882" s="1">
        <v>4380</v>
      </c>
      <c r="K882" s="1">
        <v>4380</v>
      </c>
    </row>
    <row r="883" spans="1:11" ht="32.25" customHeight="1" x14ac:dyDescent="0.25">
      <c r="A883" s="56"/>
      <c r="B883" s="76"/>
      <c r="C883" s="56"/>
      <c r="D883" s="71"/>
      <c r="E883" s="49" t="s">
        <v>1449</v>
      </c>
      <c r="F883" s="51" t="s">
        <v>459</v>
      </c>
      <c r="G883" s="10">
        <v>0</v>
      </c>
      <c r="H883" s="1">
        <v>4380</v>
      </c>
      <c r="I883" s="1">
        <v>4380</v>
      </c>
      <c r="J883" s="1">
        <v>4380</v>
      </c>
      <c r="K883" s="1">
        <v>4380</v>
      </c>
    </row>
    <row r="884" spans="1:11" ht="32.25" customHeight="1" x14ac:dyDescent="0.25">
      <c r="A884" s="56"/>
      <c r="B884" s="76"/>
      <c r="C884" s="56"/>
      <c r="D884" s="71"/>
      <c r="E884" s="49" t="s">
        <v>1450</v>
      </c>
      <c r="F884" s="51" t="s">
        <v>459</v>
      </c>
      <c r="G884" s="10">
        <v>0</v>
      </c>
      <c r="H884" s="1">
        <v>5694</v>
      </c>
      <c r="I884" s="1">
        <v>5694</v>
      </c>
      <c r="J884" s="1">
        <v>5694</v>
      </c>
      <c r="K884" s="1">
        <v>5694</v>
      </c>
    </row>
    <row r="885" spans="1:11" ht="32.25" customHeight="1" x14ac:dyDescent="0.25">
      <c r="A885" s="56"/>
      <c r="B885" s="76"/>
      <c r="C885" s="56"/>
      <c r="D885" s="71"/>
      <c r="E885" s="49" t="s">
        <v>1436</v>
      </c>
      <c r="F885" s="51" t="s">
        <v>459</v>
      </c>
      <c r="G885" s="10">
        <v>0</v>
      </c>
      <c r="H885" s="1">
        <v>36722</v>
      </c>
      <c r="I885" s="1">
        <v>36722</v>
      </c>
      <c r="J885" s="1">
        <v>36722</v>
      </c>
      <c r="K885" s="1">
        <v>36722</v>
      </c>
    </row>
    <row r="886" spans="1:11" ht="32.25" customHeight="1" x14ac:dyDescent="0.25">
      <c r="A886" s="56"/>
      <c r="B886" s="76"/>
      <c r="C886" s="56"/>
      <c r="D886" s="71"/>
      <c r="E886" s="49" t="s">
        <v>1428</v>
      </c>
      <c r="F886" s="51" t="s">
        <v>459</v>
      </c>
      <c r="G886" s="10">
        <v>0</v>
      </c>
      <c r="H886" s="1">
        <v>42896</v>
      </c>
      <c r="I886" s="1">
        <v>42896</v>
      </c>
      <c r="J886" s="1">
        <v>42896</v>
      </c>
      <c r="K886" s="1">
        <v>42896</v>
      </c>
    </row>
    <row r="887" spans="1:11" ht="57" customHeight="1" x14ac:dyDescent="0.25">
      <c r="A887" s="56"/>
      <c r="B887" s="76"/>
      <c r="C887" s="56"/>
      <c r="D887" s="71"/>
      <c r="E887" s="49" t="s">
        <v>1437</v>
      </c>
      <c r="F887" s="51" t="s">
        <v>459</v>
      </c>
      <c r="G887" s="10">
        <v>0</v>
      </c>
      <c r="H887" s="1">
        <v>22119</v>
      </c>
      <c r="I887" s="1">
        <v>22119</v>
      </c>
      <c r="J887" s="1">
        <v>22119</v>
      </c>
      <c r="K887" s="1">
        <v>22119</v>
      </c>
    </row>
    <row r="888" spans="1:11" ht="52.5" customHeight="1" x14ac:dyDescent="0.25">
      <c r="A888" s="56"/>
      <c r="B888" s="76"/>
      <c r="C888" s="56"/>
      <c r="D888" s="71"/>
      <c r="E888" s="49" t="s">
        <v>1451</v>
      </c>
      <c r="F888" s="51" t="s">
        <v>459</v>
      </c>
      <c r="G888" s="10">
        <v>0</v>
      </c>
      <c r="H888" s="1">
        <v>61789</v>
      </c>
      <c r="I888" s="1">
        <v>61789</v>
      </c>
      <c r="J888" s="1">
        <v>61789</v>
      </c>
      <c r="K888" s="1">
        <v>61789</v>
      </c>
    </row>
    <row r="889" spans="1:11" ht="32.25" customHeight="1" x14ac:dyDescent="0.25">
      <c r="A889" s="56"/>
      <c r="B889" s="76"/>
      <c r="C889" s="56"/>
      <c r="D889" s="71"/>
      <c r="E889" s="49" t="s">
        <v>1442</v>
      </c>
      <c r="F889" s="51" t="s">
        <v>459</v>
      </c>
      <c r="G889" s="10">
        <v>0</v>
      </c>
      <c r="H889" s="1">
        <v>7680</v>
      </c>
      <c r="I889" s="1">
        <v>7680</v>
      </c>
      <c r="J889" s="1">
        <v>7680</v>
      </c>
      <c r="K889" s="1">
        <v>7680</v>
      </c>
    </row>
    <row r="890" spans="1:11" ht="32.25" customHeight="1" x14ac:dyDescent="0.25">
      <c r="A890" s="56"/>
      <c r="B890" s="76"/>
      <c r="C890" s="56"/>
      <c r="D890" s="71"/>
      <c r="E890" s="49" t="s">
        <v>1444</v>
      </c>
      <c r="F890" s="51" t="s">
        <v>459</v>
      </c>
      <c r="G890" s="10">
        <v>0</v>
      </c>
      <c r="H890" s="1">
        <v>24480</v>
      </c>
      <c r="I890" s="1">
        <v>24480</v>
      </c>
      <c r="J890" s="1">
        <v>24480</v>
      </c>
      <c r="K890" s="1">
        <v>24480</v>
      </c>
    </row>
    <row r="891" spans="1:11" ht="63.75" customHeight="1" x14ac:dyDescent="0.25">
      <c r="A891" s="56"/>
      <c r="B891" s="76"/>
      <c r="C891" s="56"/>
      <c r="D891" s="71"/>
      <c r="E891" s="49" t="s">
        <v>1433</v>
      </c>
      <c r="F891" s="51" t="s">
        <v>459</v>
      </c>
      <c r="G891" s="10">
        <v>0</v>
      </c>
      <c r="H891" s="1">
        <v>15750</v>
      </c>
      <c r="I891" s="1">
        <v>15750</v>
      </c>
      <c r="J891" s="1">
        <v>15750</v>
      </c>
      <c r="K891" s="1">
        <v>15750</v>
      </c>
    </row>
    <row r="892" spans="1:11" ht="32.25" customHeight="1" x14ac:dyDescent="0.25">
      <c r="A892" s="56"/>
      <c r="B892" s="76"/>
      <c r="C892" s="56"/>
      <c r="D892" s="71"/>
      <c r="E892" s="49" t="s">
        <v>1432</v>
      </c>
      <c r="F892" s="51" t="s">
        <v>459</v>
      </c>
      <c r="G892" s="10">
        <v>0</v>
      </c>
      <c r="H892" s="1">
        <v>29250</v>
      </c>
      <c r="I892" s="1">
        <v>29250</v>
      </c>
      <c r="J892" s="1">
        <v>29250</v>
      </c>
      <c r="K892" s="1">
        <v>29250</v>
      </c>
    </row>
    <row r="893" spans="1:11" ht="32.25" customHeight="1" x14ac:dyDescent="0.25">
      <c r="A893" s="56"/>
      <c r="B893" s="76"/>
      <c r="C893" s="56"/>
      <c r="D893" s="65"/>
      <c r="E893" s="49" t="s">
        <v>1435</v>
      </c>
      <c r="F893" s="51" t="s">
        <v>459</v>
      </c>
      <c r="G893" s="10">
        <v>0</v>
      </c>
      <c r="H893" s="1">
        <v>16068</v>
      </c>
      <c r="I893" s="1">
        <v>16068</v>
      </c>
      <c r="J893" s="1">
        <v>16068</v>
      </c>
      <c r="K893" s="1">
        <v>16068</v>
      </c>
    </row>
    <row r="894" spans="1:11" ht="32.25" customHeight="1" x14ac:dyDescent="0.25">
      <c r="A894" s="56"/>
      <c r="B894" s="76"/>
      <c r="C894" s="56"/>
      <c r="D894" s="8" t="s">
        <v>705</v>
      </c>
      <c r="E894" s="49" t="s">
        <v>15</v>
      </c>
      <c r="F894" s="51" t="s">
        <v>7</v>
      </c>
      <c r="G894" s="11">
        <v>0</v>
      </c>
      <c r="H894" s="1">
        <v>37497.244999999995</v>
      </c>
      <c r="I894" s="1">
        <v>37699.379999999997</v>
      </c>
      <c r="J894" s="1">
        <v>37699.379999999997</v>
      </c>
      <c r="K894" s="1">
        <v>37699.379999999997</v>
      </c>
    </row>
    <row r="895" spans="1:11" ht="32.25" customHeight="1" x14ac:dyDescent="0.25">
      <c r="A895" s="57"/>
      <c r="B895" s="76"/>
      <c r="C895" s="56"/>
      <c r="D895" s="8" t="s">
        <v>706</v>
      </c>
      <c r="E895" s="49" t="s">
        <v>15</v>
      </c>
      <c r="F895" s="51" t="s">
        <v>7</v>
      </c>
      <c r="G895" s="11">
        <v>0</v>
      </c>
      <c r="H895" s="11">
        <v>187.14</v>
      </c>
      <c r="I895" s="11">
        <v>187.14</v>
      </c>
      <c r="J895" s="11">
        <v>187.14</v>
      </c>
      <c r="K895" s="11">
        <v>187.14</v>
      </c>
    </row>
    <row r="896" spans="1:11" ht="15.75" customHeight="1" x14ac:dyDescent="0.25">
      <c r="A896" s="55" t="s">
        <v>931</v>
      </c>
      <c r="B896" s="76"/>
      <c r="C896" s="55" t="s">
        <v>766</v>
      </c>
      <c r="D896" s="8" t="s">
        <v>767</v>
      </c>
      <c r="E896" s="64" t="s">
        <v>719</v>
      </c>
      <c r="F896" s="55" t="s">
        <v>68</v>
      </c>
      <c r="G896" s="10">
        <f>272+150+13+12+1+271+1</f>
        <v>720</v>
      </c>
      <c r="H896" s="10" t="s">
        <v>165</v>
      </c>
      <c r="I896" s="10" t="s">
        <v>165</v>
      </c>
      <c r="J896" s="10" t="s">
        <v>165</v>
      </c>
      <c r="K896" s="10" t="s">
        <v>165</v>
      </c>
    </row>
    <row r="897" spans="1:11" ht="48.75" customHeight="1" x14ac:dyDescent="0.25">
      <c r="A897" s="56"/>
      <c r="B897" s="76"/>
      <c r="C897" s="56"/>
      <c r="D897" s="8" t="s">
        <v>1467</v>
      </c>
      <c r="E897" s="71"/>
      <c r="F897" s="56"/>
      <c r="G897" s="10" t="s">
        <v>165</v>
      </c>
      <c r="H897" s="10">
        <v>272</v>
      </c>
      <c r="I897" s="10">
        <v>272</v>
      </c>
      <c r="J897" s="10">
        <v>272</v>
      </c>
      <c r="K897" s="10">
        <v>272</v>
      </c>
    </row>
    <row r="898" spans="1:11" ht="48.75" customHeight="1" x14ac:dyDescent="0.25">
      <c r="A898" s="56"/>
      <c r="B898" s="76"/>
      <c r="C898" s="56"/>
      <c r="D898" s="8" t="s">
        <v>1468</v>
      </c>
      <c r="E898" s="71"/>
      <c r="F898" s="56"/>
      <c r="G898" s="10" t="s">
        <v>165</v>
      </c>
      <c r="H898" s="10">
        <v>82</v>
      </c>
      <c r="I898" s="10">
        <v>82</v>
      </c>
      <c r="J898" s="10">
        <v>82</v>
      </c>
      <c r="K898" s="10">
        <v>82</v>
      </c>
    </row>
    <row r="899" spans="1:11" ht="48.75" customHeight="1" x14ac:dyDescent="0.25">
      <c r="A899" s="56"/>
      <c r="B899" s="76"/>
      <c r="C899" s="56"/>
      <c r="D899" s="8" t="s">
        <v>1469</v>
      </c>
      <c r="E899" s="71"/>
      <c r="F899" s="56"/>
      <c r="G899" s="10" t="s">
        <v>165</v>
      </c>
      <c r="H899" s="10">
        <v>13</v>
      </c>
      <c r="I899" s="10">
        <v>13</v>
      </c>
      <c r="J899" s="10">
        <v>13</v>
      </c>
      <c r="K899" s="10">
        <v>13</v>
      </c>
    </row>
    <row r="900" spans="1:11" ht="48.75" customHeight="1" x14ac:dyDescent="0.25">
      <c r="A900" s="56"/>
      <c r="B900" s="76"/>
      <c r="C900" s="56"/>
      <c r="D900" s="8" t="s">
        <v>1470</v>
      </c>
      <c r="E900" s="71"/>
      <c r="F900" s="56"/>
      <c r="G900" s="10" t="s">
        <v>165</v>
      </c>
      <c r="H900" s="10">
        <v>11</v>
      </c>
      <c r="I900" s="10">
        <v>11</v>
      </c>
      <c r="J900" s="10">
        <v>11</v>
      </c>
      <c r="K900" s="10">
        <v>11</v>
      </c>
    </row>
    <row r="901" spans="1:11" ht="48.75" customHeight="1" x14ac:dyDescent="0.25">
      <c r="A901" s="56"/>
      <c r="B901" s="76"/>
      <c r="C901" s="56"/>
      <c r="D901" s="8" t="s">
        <v>1471</v>
      </c>
      <c r="E901" s="71"/>
      <c r="F901" s="56"/>
      <c r="G901" s="10" t="s">
        <v>165</v>
      </c>
      <c r="H901" s="10">
        <v>30</v>
      </c>
      <c r="I901" s="10">
        <v>30</v>
      </c>
      <c r="J901" s="10">
        <v>30</v>
      </c>
      <c r="K901" s="10">
        <v>30</v>
      </c>
    </row>
    <row r="902" spans="1:11" ht="48.75" customHeight="1" x14ac:dyDescent="0.25">
      <c r="A902" s="56"/>
      <c r="B902" s="76"/>
      <c r="C902" s="56"/>
      <c r="D902" s="8" t="s">
        <v>1467</v>
      </c>
      <c r="E902" s="65"/>
      <c r="F902" s="57"/>
      <c r="G902" s="10" t="s">
        <v>165</v>
      </c>
      <c r="H902" s="10">
        <v>272</v>
      </c>
      <c r="I902" s="10">
        <v>272</v>
      </c>
      <c r="J902" s="10">
        <v>272</v>
      </c>
      <c r="K902" s="10">
        <v>272</v>
      </c>
    </row>
    <row r="903" spans="1:11" ht="63" x14ac:dyDescent="0.25">
      <c r="A903" s="57"/>
      <c r="B903" s="76"/>
      <c r="C903" s="56"/>
      <c r="D903" s="8" t="s">
        <v>771</v>
      </c>
      <c r="E903" s="8" t="s">
        <v>609</v>
      </c>
      <c r="F903" s="9" t="s">
        <v>109</v>
      </c>
      <c r="G903" s="1">
        <f>14187.52+7824+678.08+625.92+52.16+14135.36+170.145</f>
        <v>37673.184999999998</v>
      </c>
      <c r="H903" s="1">
        <f>14611.84+4405.04+698.36+590.92+1611.6+14611.84</f>
        <v>36529.599999999999</v>
      </c>
      <c r="I903" s="1">
        <f>12441.28+3750.68+594.62+503.14+1372.2+12441.28</f>
        <v>31103.200000000004</v>
      </c>
      <c r="J903" s="1">
        <f>10352.32+3120.92+494.78+418.66+1141.8+10352.32</f>
        <v>25880.799999999999</v>
      </c>
      <c r="K903" s="1">
        <f>10123.84+3052.04+483.86+409.42+1116.6+10123.84</f>
        <v>25309.600000000002</v>
      </c>
    </row>
    <row r="904" spans="1:11" ht="28.5" customHeight="1" x14ac:dyDescent="0.25">
      <c r="A904" s="55" t="s">
        <v>932</v>
      </c>
      <c r="B904" s="76"/>
      <c r="C904" s="55" t="s">
        <v>768</v>
      </c>
      <c r="D904" s="8" t="s">
        <v>769</v>
      </c>
      <c r="E904" s="64" t="s">
        <v>719</v>
      </c>
      <c r="F904" s="55" t="s">
        <v>68</v>
      </c>
      <c r="G904" s="10">
        <f>503+769+45+29</f>
        <v>1346</v>
      </c>
      <c r="H904" s="10" t="s">
        <v>165</v>
      </c>
      <c r="I904" s="10" t="s">
        <v>165</v>
      </c>
      <c r="J904" s="10" t="s">
        <v>165</v>
      </c>
      <c r="K904" s="10" t="s">
        <v>165</v>
      </c>
    </row>
    <row r="905" spans="1:11" ht="36.75" customHeight="1" x14ac:dyDescent="0.25">
      <c r="A905" s="56"/>
      <c r="B905" s="76"/>
      <c r="C905" s="56"/>
      <c r="D905" s="8" t="s">
        <v>1472</v>
      </c>
      <c r="E905" s="71"/>
      <c r="F905" s="56"/>
      <c r="G905" s="10" t="s">
        <v>165</v>
      </c>
      <c r="H905" s="10">
        <v>480</v>
      </c>
      <c r="I905" s="10">
        <v>480</v>
      </c>
      <c r="J905" s="10">
        <v>480</v>
      </c>
      <c r="K905" s="10">
        <v>480</v>
      </c>
    </row>
    <row r="906" spans="1:11" ht="36.75" customHeight="1" x14ac:dyDescent="0.25">
      <c r="A906" s="56"/>
      <c r="B906" s="76"/>
      <c r="C906" s="56"/>
      <c r="D906" s="8" t="s">
        <v>1473</v>
      </c>
      <c r="E906" s="71"/>
      <c r="F906" s="56"/>
      <c r="G906" s="10" t="s">
        <v>165</v>
      </c>
      <c r="H906" s="10">
        <v>762</v>
      </c>
      <c r="I906" s="10">
        <v>762</v>
      </c>
      <c r="J906" s="10">
        <v>762</v>
      </c>
      <c r="K906" s="10">
        <v>762</v>
      </c>
    </row>
    <row r="907" spans="1:11" ht="36.75" customHeight="1" x14ac:dyDescent="0.25">
      <c r="A907" s="56"/>
      <c r="B907" s="76"/>
      <c r="C907" s="56"/>
      <c r="D907" s="8" t="s">
        <v>1474</v>
      </c>
      <c r="E907" s="71"/>
      <c r="F907" s="56"/>
      <c r="G907" s="10" t="s">
        <v>165</v>
      </c>
      <c r="H907" s="10">
        <v>37</v>
      </c>
      <c r="I907" s="10">
        <v>37</v>
      </c>
      <c r="J907" s="10">
        <v>37</v>
      </c>
      <c r="K907" s="10">
        <v>37</v>
      </c>
    </row>
    <row r="908" spans="1:11" ht="36.75" customHeight="1" x14ac:dyDescent="0.25">
      <c r="A908" s="56"/>
      <c r="B908" s="76"/>
      <c r="C908" s="56"/>
      <c r="D908" s="8" t="s">
        <v>1572</v>
      </c>
      <c r="E908" s="65"/>
      <c r="F908" s="57"/>
      <c r="G908" s="10" t="s">
        <v>165</v>
      </c>
      <c r="H908" s="10">
        <v>3</v>
      </c>
      <c r="I908" s="10">
        <v>3</v>
      </c>
      <c r="J908" s="10">
        <v>3</v>
      </c>
      <c r="K908" s="10">
        <v>3</v>
      </c>
    </row>
    <row r="909" spans="1:11" ht="36.75" customHeight="1" x14ac:dyDescent="0.25">
      <c r="A909" s="56"/>
      <c r="B909" s="76"/>
      <c r="C909" s="56"/>
      <c r="D909" s="8" t="s">
        <v>1573</v>
      </c>
      <c r="E909" s="52"/>
      <c r="F909" s="26"/>
      <c r="G909" s="10" t="s">
        <v>165</v>
      </c>
      <c r="H909" s="10">
        <v>38</v>
      </c>
      <c r="I909" s="10">
        <v>38</v>
      </c>
      <c r="J909" s="10">
        <v>38</v>
      </c>
      <c r="K909" s="10">
        <v>38</v>
      </c>
    </row>
    <row r="910" spans="1:11" ht="38.25" customHeight="1" x14ac:dyDescent="0.25">
      <c r="A910" s="56"/>
      <c r="B910" s="76"/>
      <c r="C910" s="56"/>
      <c r="D910" s="8" t="s">
        <v>771</v>
      </c>
      <c r="E910" s="64" t="s">
        <v>609</v>
      </c>
      <c r="F910" s="55" t="s">
        <v>109</v>
      </c>
      <c r="G910" s="1">
        <f>26236.48+40111.04+2347.2</f>
        <v>68694.720000000001</v>
      </c>
      <c r="H910" s="1">
        <f>25785.6+40934.64+1987.64</f>
        <v>68707.87999999999</v>
      </c>
      <c r="I910" s="1">
        <f>21955.2+34853.88+1692.38</f>
        <v>58501.46</v>
      </c>
      <c r="J910" s="1">
        <f>18268.8+29001.72+1408.22</f>
        <v>48678.740000000005</v>
      </c>
      <c r="K910" s="1">
        <f>17865.6+28361.64+1377.14</f>
        <v>47604.38</v>
      </c>
    </row>
    <row r="911" spans="1:11" ht="38.25" customHeight="1" x14ac:dyDescent="0.25">
      <c r="A911" s="57"/>
      <c r="B911" s="76"/>
      <c r="C911" s="57"/>
      <c r="D911" s="8" t="s">
        <v>772</v>
      </c>
      <c r="E911" s="65"/>
      <c r="F911" s="57"/>
      <c r="G911" s="1">
        <f>4934.221</f>
        <v>4934.2209999999995</v>
      </c>
      <c r="H911" s="1">
        <f>323.415+4096.59</f>
        <v>4420.0050000000001</v>
      </c>
      <c r="I911" s="1">
        <f>272.715+3454.39</f>
        <v>3727.105</v>
      </c>
      <c r="J911" s="1">
        <f>210.906+2671.48</f>
        <v>2882.386</v>
      </c>
      <c r="K911" s="1">
        <f>206.646+2617.52</f>
        <v>2824.1660000000002</v>
      </c>
    </row>
    <row r="912" spans="1:11" ht="15.75" x14ac:dyDescent="0.25">
      <c r="A912" s="55" t="s">
        <v>933</v>
      </c>
      <c r="B912" s="76"/>
      <c r="C912" s="69" t="s">
        <v>773</v>
      </c>
      <c r="D912" s="8" t="s">
        <v>774</v>
      </c>
      <c r="E912" s="64" t="s">
        <v>719</v>
      </c>
      <c r="F912" s="55" t="s">
        <v>68</v>
      </c>
      <c r="G912" s="10">
        <f>271+13</f>
        <v>284</v>
      </c>
      <c r="H912" s="10" t="s">
        <v>165</v>
      </c>
      <c r="I912" s="10" t="s">
        <v>165</v>
      </c>
      <c r="J912" s="10" t="s">
        <v>165</v>
      </c>
      <c r="K912" s="10" t="s">
        <v>165</v>
      </c>
    </row>
    <row r="913" spans="1:11" ht="31.5" x14ac:dyDescent="0.25">
      <c r="A913" s="56"/>
      <c r="B913" s="76"/>
      <c r="C913" s="69"/>
      <c r="D913" s="8" t="s">
        <v>1475</v>
      </c>
      <c r="E913" s="71"/>
      <c r="F913" s="56"/>
      <c r="G913" s="10" t="s">
        <v>165</v>
      </c>
      <c r="H913" s="10">
        <v>5</v>
      </c>
      <c r="I913" s="10">
        <v>5</v>
      </c>
      <c r="J913" s="10">
        <v>5</v>
      </c>
      <c r="K913" s="10">
        <v>5</v>
      </c>
    </row>
    <row r="914" spans="1:11" ht="31.5" x14ac:dyDescent="0.25">
      <c r="A914" s="56"/>
      <c r="B914" s="76"/>
      <c r="C914" s="69"/>
      <c r="D914" s="8" t="s">
        <v>1476</v>
      </c>
      <c r="E914" s="71"/>
      <c r="F914" s="56"/>
      <c r="G914" s="10" t="s">
        <v>165</v>
      </c>
      <c r="H914" s="10">
        <v>275</v>
      </c>
      <c r="I914" s="10">
        <v>275</v>
      </c>
      <c r="J914" s="10">
        <v>275</v>
      </c>
      <c r="K914" s="10">
        <v>275</v>
      </c>
    </row>
    <row r="915" spans="1:11" ht="31.5" x14ac:dyDescent="0.25">
      <c r="A915" s="56"/>
      <c r="B915" s="76"/>
      <c r="C915" s="69"/>
      <c r="D915" s="8" t="s">
        <v>1477</v>
      </c>
      <c r="E915" s="71"/>
      <c r="F915" s="56"/>
      <c r="G915" s="10" t="s">
        <v>165</v>
      </c>
      <c r="H915" s="10">
        <v>8</v>
      </c>
      <c r="I915" s="10">
        <v>8</v>
      </c>
      <c r="J915" s="10">
        <v>8</v>
      </c>
      <c r="K915" s="10">
        <v>8</v>
      </c>
    </row>
    <row r="916" spans="1:11" ht="31.5" x14ac:dyDescent="0.25">
      <c r="A916" s="56"/>
      <c r="B916" s="76"/>
      <c r="C916" s="69"/>
      <c r="D916" s="8" t="s">
        <v>1478</v>
      </c>
      <c r="E916" s="65"/>
      <c r="F916" s="57"/>
      <c r="G916" s="10" t="s">
        <v>165</v>
      </c>
      <c r="H916" s="10">
        <v>40</v>
      </c>
      <c r="I916" s="10">
        <v>40</v>
      </c>
      <c r="J916" s="10">
        <v>40</v>
      </c>
      <c r="K916" s="10">
        <v>40</v>
      </c>
    </row>
    <row r="917" spans="1:11" ht="63" x14ac:dyDescent="0.25">
      <c r="A917" s="57"/>
      <c r="B917" s="76"/>
      <c r="C917" s="69"/>
      <c r="D917" s="8" t="s">
        <v>770</v>
      </c>
      <c r="E917" s="8" t="s">
        <v>609</v>
      </c>
      <c r="F917" s="9" t="s">
        <v>109</v>
      </c>
      <c r="G917" s="1">
        <f>14135.36+678.08</f>
        <v>14813.44</v>
      </c>
      <c r="H917" s="1">
        <f>268.6+14773+429.76+2148.8</f>
        <v>17620.16</v>
      </c>
      <c r="I917" s="1">
        <f>228.7+12578.5+365.92+1829.6</f>
        <v>15002.720000000001</v>
      </c>
      <c r="J917" s="1">
        <f>190.3+10466.5+304.48+1522.4</f>
        <v>12483.679999999998</v>
      </c>
      <c r="K917" s="1">
        <f>186.1+10235.5+297.76+1488.8</f>
        <v>12208.16</v>
      </c>
    </row>
    <row r="918" spans="1:11" ht="15.75" customHeight="1" x14ac:dyDescent="0.25">
      <c r="A918" s="55" t="s">
        <v>934</v>
      </c>
      <c r="B918" s="76"/>
      <c r="C918" s="55" t="s">
        <v>776</v>
      </c>
      <c r="D918" s="64" t="s">
        <v>775</v>
      </c>
      <c r="E918" s="8" t="s">
        <v>719</v>
      </c>
      <c r="F918" s="9" t="s">
        <v>68</v>
      </c>
      <c r="G918" s="10">
        <f>1590+45+2400</f>
        <v>4035</v>
      </c>
      <c r="H918" s="10" t="s">
        <v>165</v>
      </c>
      <c r="I918" s="10" t="s">
        <v>165</v>
      </c>
      <c r="J918" s="10" t="s">
        <v>165</v>
      </c>
      <c r="K918" s="10" t="s">
        <v>165</v>
      </c>
    </row>
    <row r="919" spans="1:11" ht="15.75" customHeight="1" x14ac:dyDescent="0.25">
      <c r="A919" s="56"/>
      <c r="B919" s="76"/>
      <c r="C919" s="56"/>
      <c r="D919" s="65"/>
      <c r="E919" s="23" t="s">
        <v>458</v>
      </c>
      <c r="F919" s="24" t="s">
        <v>459</v>
      </c>
      <c r="G919" s="10">
        <v>16563</v>
      </c>
      <c r="H919" s="10" t="s">
        <v>165</v>
      </c>
      <c r="I919" s="10" t="s">
        <v>165</v>
      </c>
      <c r="J919" s="10" t="s">
        <v>165</v>
      </c>
      <c r="K919" s="10" t="s">
        <v>165</v>
      </c>
    </row>
    <row r="920" spans="1:11" ht="15" customHeight="1" x14ac:dyDescent="0.25">
      <c r="A920" s="56"/>
      <c r="B920" s="76"/>
      <c r="C920" s="56"/>
      <c r="D920" s="64" t="s">
        <v>1479</v>
      </c>
      <c r="E920" s="8" t="s">
        <v>719</v>
      </c>
      <c r="F920" s="9" t="s">
        <v>68</v>
      </c>
      <c r="G920" s="10" t="s">
        <v>165</v>
      </c>
      <c r="H920" s="10">
        <f>1590+245+100</f>
        <v>1935</v>
      </c>
      <c r="I920" s="10">
        <f>1590+245+100</f>
        <v>1935</v>
      </c>
      <c r="J920" s="10">
        <f t="shared" ref="J920:K920" si="22">1590+245+100</f>
        <v>1935</v>
      </c>
      <c r="K920" s="10">
        <f t="shared" si="22"/>
        <v>1935</v>
      </c>
    </row>
    <row r="921" spans="1:11" ht="22.5" customHeight="1" x14ac:dyDescent="0.25">
      <c r="A921" s="56"/>
      <c r="B921" s="76"/>
      <c r="C921" s="56"/>
      <c r="D921" s="65"/>
      <c r="E921" s="23" t="s">
        <v>458</v>
      </c>
      <c r="F921" s="24" t="s">
        <v>459</v>
      </c>
      <c r="G921" s="10" t="s">
        <v>165</v>
      </c>
      <c r="H921" s="10">
        <v>108019</v>
      </c>
      <c r="I921" s="10">
        <v>108019</v>
      </c>
      <c r="J921" s="10">
        <v>108019</v>
      </c>
      <c r="K921" s="10">
        <v>108019</v>
      </c>
    </row>
    <row r="922" spans="1:11" ht="18.75" customHeight="1" x14ac:dyDescent="0.25">
      <c r="A922" s="56"/>
      <c r="B922" s="76"/>
      <c r="C922" s="56"/>
      <c r="D922" s="64" t="s">
        <v>1480</v>
      </c>
      <c r="E922" s="8" t="s">
        <v>719</v>
      </c>
      <c r="F922" s="9" t="s">
        <v>68</v>
      </c>
      <c r="G922" s="10" t="s">
        <v>165</v>
      </c>
      <c r="H922" s="10">
        <f>2+13+2</f>
        <v>17</v>
      </c>
      <c r="I922" s="10">
        <f>2+13+2</f>
        <v>17</v>
      </c>
      <c r="J922" s="10">
        <f>2+13+2</f>
        <v>17</v>
      </c>
      <c r="K922" s="10">
        <f>2+13+2</f>
        <v>17</v>
      </c>
    </row>
    <row r="923" spans="1:11" ht="19.5" customHeight="1" x14ac:dyDescent="0.25">
      <c r="A923" s="56"/>
      <c r="B923" s="76"/>
      <c r="C923" s="56"/>
      <c r="D923" s="65"/>
      <c r="E923" s="23" t="s">
        <v>458</v>
      </c>
      <c r="F923" s="24" t="s">
        <v>459</v>
      </c>
      <c r="G923" s="10" t="s">
        <v>165</v>
      </c>
      <c r="H923" s="10">
        <f>3000+23340+3000</f>
        <v>29340</v>
      </c>
      <c r="I923" s="10">
        <f>3000+23340+2736</f>
        <v>29076</v>
      </c>
      <c r="J923" s="10">
        <f>3000+23340+2733</f>
        <v>29073</v>
      </c>
      <c r="K923" s="10">
        <f>3000+23340+2733</f>
        <v>29073</v>
      </c>
    </row>
    <row r="924" spans="1:11" ht="13.5" customHeight="1" x14ac:dyDescent="0.25">
      <c r="A924" s="56"/>
      <c r="B924" s="76"/>
      <c r="C924" s="56"/>
      <c r="D924" s="64" t="s">
        <v>1481</v>
      </c>
      <c r="E924" s="8" t="s">
        <v>719</v>
      </c>
      <c r="F924" s="9" t="s">
        <v>68</v>
      </c>
      <c r="G924" s="10" t="s">
        <v>165</v>
      </c>
      <c r="H924" s="10">
        <v>49</v>
      </c>
      <c r="I924" s="10">
        <v>49</v>
      </c>
      <c r="J924" s="10">
        <v>49</v>
      </c>
      <c r="K924" s="10">
        <v>49</v>
      </c>
    </row>
    <row r="925" spans="1:11" ht="19.5" customHeight="1" x14ac:dyDescent="0.25">
      <c r="A925" s="56"/>
      <c r="B925" s="76"/>
      <c r="C925" s="56"/>
      <c r="D925" s="65"/>
      <c r="E925" s="23" t="s">
        <v>458</v>
      </c>
      <c r="F925" s="24" t="s">
        <v>459</v>
      </c>
      <c r="G925" s="10" t="s">
        <v>165</v>
      </c>
      <c r="H925" s="10">
        <v>86184</v>
      </c>
      <c r="I925" s="10">
        <v>86184</v>
      </c>
      <c r="J925" s="10">
        <v>86184</v>
      </c>
      <c r="K925" s="10">
        <v>86184</v>
      </c>
    </row>
    <row r="926" spans="1:11" ht="19.5" customHeight="1" x14ac:dyDescent="0.25">
      <c r="A926" s="56"/>
      <c r="B926" s="76"/>
      <c r="C926" s="56"/>
      <c r="D926" s="64" t="s">
        <v>1482</v>
      </c>
      <c r="E926" s="8" t="s">
        <v>719</v>
      </c>
      <c r="F926" s="9" t="s">
        <v>68</v>
      </c>
      <c r="G926" s="10" t="s">
        <v>165</v>
      </c>
      <c r="H926" s="10">
        <v>12</v>
      </c>
      <c r="I926" s="10">
        <v>12</v>
      </c>
      <c r="J926" s="10">
        <v>12</v>
      </c>
      <c r="K926" s="10">
        <v>12</v>
      </c>
    </row>
    <row r="927" spans="1:11" ht="19.5" customHeight="1" x14ac:dyDescent="0.25">
      <c r="A927" s="56"/>
      <c r="B927" s="76"/>
      <c r="C927" s="56"/>
      <c r="D927" s="65"/>
      <c r="E927" s="23" t="s">
        <v>458</v>
      </c>
      <c r="F927" s="24" t="s">
        <v>459</v>
      </c>
      <c r="G927" s="10" t="s">
        <v>165</v>
      </c>
      <c r="H927" s="10">
        <v>21600</v>
      </c>
      <c r="I927" s="10">
        <v>21600</v>
      </c>
      <c r="J927" s="10">
        <v>21600</v>
      </c>
      <c r="K927" s="10">
        <v>21600</v>
      </c>
    </row>
    <row r="928" spans="1:11" ht="19.5" customHeight="1" x14ac:dyDescent="0.25">
      <c r="A928" s="56"/>
      <c r="B928" s="76"/>
      <c r="C928" s="56"/>
      <c r="D928" s="64" t="s">
        <v>1483</v>
      </c>
      <c r="E928" s="8" t="s">
        <v>719</v>
      </c>
      <c r="F928" s="9" t="s">
        <v>68</v>
      </c>
      <c r="G928" s="10" t="s">
        <v>165</v>
      </c>
      <c r="H928" s="10">
        <v>1</v>
      </c>
      <c r="I928" s="10">
        <v>1</v>
      </c>
      <c r="J928" s="10">
        <v>1</v>
      </c>
      <c r="K928" s="10">
        <v>1</v>
      </c>
    </row>
    <row r="929" spans="1:11" ht="19.5" customHeight="1" x14ac:dyDescent="0.25">
      <c r="A929" s="56"/>
      <c r="B929" s="76"/>
      <c r="C929" s="56"/>
      <c r="D929" s="65"/>
      <c r="E929" s="23" t="s">
        <v>458</v>
      </c>
      <c r="F929" s="24" t="s">
        <v>459</v>
      </c>
      <c r="G929" s="10" t="s">
        <v>165</v>
      </c>
      <c r="H929" s="10">
        <v>1296</v>
      </c>
      <c r="I929" s="10">
        <v>1296</v>
      </c>
      <c r="J929" s="10">
        <v>1296</v>
      </c>
      <c r="K929" s="10">
        <v>1296</v>
      </c>
    </row>
    <row r="930" spans="1:11" ht="19.5" customHeight="1" x14ac:dyDescent="0.25">
      <c r="A930" s="56"/>
      <c r="B930" s="76"/>
      <c r="C930" s="56"/>
      <c r="D930" s="64" t="s">
        <v>1484</v>
      </c>
      <c r="E930" s="8" t="s">
        <v>719</v>
      </c>
      <c r="F930" s="9" t="s">
        <v>68</v>
      </c>
      <c r="G930" s="10" t="s">
        <v>165</v>
      </c>
      <c r="H930" s="10">
        <v>3</v>
      </c>
      <c r="I930" s="10">
        <v>3</v>
      </c>
      <c r="J930" s="10">
        <v>3</v>
      </c>
      <c r="K930" s="10">
        <v>3</v>
      </c>
    </row>
    <row r="931" spans="1:11" ht="19.5" customHeight="1" x14ac:dyDescent="0.25">
      <c r="A931" s="56"/>
      <c r="B931" s="76"/>
      <c r="C931" s="56"/>
      <c r="D931" s="65"/>
      <c r="E931" s="23" t="s">
        <v>458</v>
      </c>
      <c r="F931" s="24" t="s">
        <v>459</v>
      </c>
      <c r="G931" s="10" t="s">
        <v>165</v>
      </c>
      <c r="H931" s="10">
        <v>6960</v>
      </c>
      <c r="I931" s="10">
        <v>6960</v>
      </c>
      <c r="J931" s="10">
        <v>6960</v>
      </c>
      <c r="K931" s="10">
        <v>6960</v>
      </c>
    </row>
    <row r="932" spans="1:11" ht="19.5" customHeight="1" x14ac:dyDescent="0.25">
      <c r="A932" s="56"/>
      <c r="B932" s="76"/>
      <c r="C932" s="56"/>
      <c r="D932" s="64" t="s">
        <v>1485</v>
      </c>
      <c r="E932" s="8" t="s">
        <v>719</v>
      </c>
      <c r="F932" s="9" t="s">
        <v>68</v>
      </c>
      <c r="G932" s="10" t="s">
        <v>165</v>
      </c>
      <c r="H932" s="10">
        <v>1</v>
      </c>
      <c r="I932" s="10">
        <v>1</v>
      </c>
      <c r="J932" s="10">
        <v>1</v>
      </c>
      <c r="K932" s="10">
        <v>1</v>
      </c>
    </row>
    <row r="933" spans="1:11" ht="19.5" customHeight="1" x14ac:dyDescent="0.25">
      <c r="A933" s="56"/>
      <c r="B933" s="76"/>
      <c r="C933" s="56"/>
      <c r="D933" s="65"/>
      <c r="E933" s="23" t="s">
        <v>458</v>
      </c>
      <c r="F933" s="24" t="s">
        <v>459</v>
      </c>
      <c r="G933" s="10" t="s">
        <v>165</v>
      </c>
      <c r="H933" s="10">
        <v>2250</v>
      </c>
      <c r="I933" s="10">
        <v>2250</v>
      </c>
      <c r="J933" s="10">
        <v>2250</v>
      </c>
      <c r="K933" s="10">
        <v>2250</v>
      </c>
    </row>
    <row r="934" spans="1:11" ht="33.75" customHeight="1" x14ac:dyDescent="0.25">
      <c r="A934" s="56"/>
      <c r="B934" s="76"/>
      <c r="C934" s="56"/>
      <c r="D934" s="8" t="s">
        <v>771</v>
      </c>
      <c r="E934" s="64" t="s">
        <v>609</v>
      </c>
      <c r="F934" s="82" t="s">
        <v>109</v>
      </c>
      <c r="G934" s="1">
        <v>82934.399999999994</v>
      </c>
      <c r="H934" s="1">
        <v>85414.8</v>
      </c>
      <c r="I934" s="1">
        <v>72726.600000000006</v>
      </c>
      <c r="J934" s="1">
        <v>60515.4</v>
      </c>
      <c r="K934" s="1">
        <v>59179.799999999996</v>
      </c>
    </row>
    <row r="935" spans="1:11" ht="15.75" x14ac:dyDescent="0.25">
      <c r="A935" s="56"/>
      <c r="B935" s="76"/>
      <c r="C935" s="56"/>
      <c r="D935" s="8" t="s">
        <v>772</v>
      </c>
      <c r="E935" s="71"/>
      <c r="F935" s="83"/>
      <c r="G935" s="1">
        <v>7656.55</v>
      </c>
      <c r="H935" s="1">
        <v>26412.225000000002</v>
      </c>
      <c r="I935" s="1">
        <v>22271.724999999999</v>
      </c>
      <c r="J935" s="1">
        <v>17223.990000000002</v>
      </c>
      <c r="K935" s="1">
        <v>16876.09</v>
      </c>
    </row>
    <row r="936" spans="1:11" ht="15.75" x14ac:dyDescent="0.25">
      <c r="A936" s="56"/>
      <c r="B936" s="76"/>
      <c r="C936" s="56"/>
      <c r="D936" s="8" t="s">
        <v>1547</v>
      </c>
      <c r="E936" s="71"/>
      <c r="F936" s="83"/>
      <c r="G936" s="1">
        <v>0</v>
      </c>
      <c r="H936" s="1">
        <v>189.38</v>
      </c>
      <c r="I936" s="1">
        <v>166.8</v>
      </c>
      <c r="J936" s="1">
        <v>107.6</v>
      </c>
      <c r="K936" s="1">
        <v>103.39999999999999</v>
      </c>
    </row>
    <row r="937" spans="1:11" ht="15.75" x14ac:dyDescent="0.25">
      <c r="A937" s="56"/>
      <c r="B937" s="76"/>
      <c r="C937" s="56"/>
      <c r="D937" s="8" t="s">
        <v>777</v>
      </c>
      <c r="E937" s="71"/>
      <c r="F937" s="83"/>
      <c r="G937" s="1">
        <v>824</v>
      </c>
      <c r="H937" s="1">
        <v>63.67</v>
      </c>
      <c r="I937" s="1">
        <v>55.63</v>
      </c>
      <c r="J937" s="1">
        <v>51.82</v>
      </c>
      <c r="K937" s="1">
        <v>58.19</v>
      </c>
    </row>
    <row r="938" spans="1:11" ht="15.75" x14ac:dyDescent="0.25">
      <c r="A938" s="57"/>
      <c r="B938" s="76"/>
      <c r="C938" s="57"/>
      <c r="D938" s="8" t="s">
        <v>778</v>
      </c>
      <c r="E938" s="65"/>
      <c r="F938" s="84"/>
      <c r="G938" s="1">
        <v>41101.673900000002</v>
      </c>
      <c r="H938" s="1">
        <f>108.46+2657.27+650.76+54.23+704.99+162.69+54.23</f>
        <v>4392.6299999999992</v>
      </c>
      <c r="I938" s="1">
        <f>93.74+2296.63+562.44+46.87+609.31+140.61+46.87</f>
        <v>3796.47</v>
      </c>
      <c r="J938" s="1">
        <f>72.78+1783.11+436.68+36.39+473.07+109.17+36.39</f>
        <v>2947.5899999999997</v>
      </c>
      <c r="K938" s="1">
        <f>71.84+1760.08+431.04+35.92+466.96+107.76+35.92</f>
        <v>2909.5200000000004</v>
      </c>
    </row>
    <row r="939" spans="1:11" ht="15.75" x14ac:dyDescent="0.25">
      <c r="A939" s="55" t="s">
        <v>935</v>
      </c>
      <c r="B939" s="76"/>
      <c r="C939" s="55" t="s">
        <v>422</v>
      </c>
      <c r="D939" s="8" t="s">
        <v>424</v>
      </c>
      <c r="E939" s="8" t="s">
        <v>719</v>
      </c>
      <c r="F939" s="9" t="s">
        <v>68</v>
      </c>
      <c r="G939" s="10">
        <f>1990+30+51+24</f>
        <v>2095</v>
      </c>
      <c r="H939" s="10" t="s">
        <v>165</v>
      </c>
      <c r="I939" s="10" t="s">
        <v>165</v>
      </c>
      <c r="J939" s="10" t="s">
        <v>165</v>
      </c>
      <c r="K939" s="10" t="s">
        <v>165</v>
      </c>
    </row>
    <row r="940" spans="1:11" ht="35.25" customHeight="1" x14ac:dyDescent="0.25">
      <c r="A940" s="56"/>
      <c r="B940" s="76"/>
      <c r="C940" s="56"/>
      <c r="D940" s="8" t="s">
        <v>1486</v>
      </c>
      <c r="E940" s="8" t="s">
        <v>719</v>
      </c>
      <c r="F940" s="9" t="s">
        <v>68</v>
      </c>
      <c r="G940" s="10" t="s">
        <v>165</v>
      </c>
      <c r="H940" s="10">
        <f>2061+27</f>
        <v>2088</v>
      </c>
      <c r="I940" s="10">
        <f t="shared" ref="I940:K940" si="23">2061+27</f>
        <v>2088</v>
      </c>
      <c r="J940" s="10">
        <f t="shared" si="23"/>
        <v>2088</v>
      </c>
      <c r="K940" s="10">
        <f t="shared" si="23"/>
        <v>2088</v>
      </c>
    </row>
    <row r="941" spans="1:11" ht="35.25" customHeight="1" x14ac:dyDescent="0.25">
      <c r="A941" s="56"/>
      <c r="B941" s="76"/>
      <c r="C941" s="56"/>
      <c r="D941" s="8" t="s">
        <v>1487</v>
      </c>
      <c r="E941" s="8" t="s">
        <v>719</v>
      </c>
      <c r="F941" s="9" t="s">
        <v>68</v>
      </c>
      <c r="G941" s="10" t="s">
        <v>165</v>
      </c>
      <c r="H941" s="10">
        <v>60</v>
      </c>
      <c r="I941" s="10">
        <v>60</v>
      </c>
      <c r="J941" s="10">
        <v>60</v>
      </c>
      <c r="K941" s="10">
        <v>60</v>
      </c>
    </row>
    <row r="942" spans="1:11" ht="37.5" customHeight="1" x14ac:dyDescent="0.25">
      <c r="A942" s="56"/>
      <c r="B942" s="76"/>
      <c r="C942" s="56"/>
      <c r="D942" s="8" t="s">
        <v>771</v>
      </c>
      <c r="E942" s="64" t="s">
        <v>609</v>
      </c>
      <c r="F942" s="55" t="s">
        <v>109</v>
      </c>
      <c r="G942" s="1">
        <v>103798.39999999999</v>
      </c>
      <c r="H942" s="1">
        <v>110716.92</v>
      </c>
      <c r="I942" s="1">
        <v>94270.14</v>
      </c>
      <c r="J942" s="1">
        <v>78441.66</v>
      </c>
      <c r="K942" s="1">
        <v>76710.42</v>
      </c>
    </row>
    <row r="943" spans="1:11" ht="15.75" x14ac:dyDescent="0.25">
      <c r="A943" s="56"/>
      <c r="B943" s="76"/>
      <c r="C943" s="56"/>
      <c r="D943" s="8" t="s">
        <v>772</v>
      </c>
      <c r="E943" s="71"/>
      <c r="F943" s="56"/>
      <c r="G943" s="1">
        <v>5104.366</v>
      </c>
      <c r="H943" s="1">
        <v>2910.7350000000001</v>
      </c>
      <c r="I943" s="1">
        <v>2454.44</v>
      </c>
      <c r="J943" s="1">
        <v>1898.1540000000002</v>
      </c>
      <c r="K943" s="1">
        <v>1859.8140000000001</v>
      </c>
    </row>
    <row r="944" spans="1:11" ht="15.75" x14ac:dyDescent="0.25">
      <c r="A944" s="56"/>
      <c r="B944" s="76"/>
      <c r="C944" s="56"/>
      <c r="D944" s="8" t="s">
        <v>777</v>
      </c>
      <c r="E944" s="71"/>
      <c r="F944" s="56"/>
      <c r="G944" s="1">
        <v>1600</v>
      </c>
      <c r="H944" s="1">
        <v>0</v>
      </c>
      <c r="I944" s="1">
        <v>0</v>
      </c>
      <c r="J944" s="1">
        <v>0</v>
      </c>
      <c r="K944" s="1">
        <v>0</v>
      </c>
    </row>
    <row r="945" spans="1:11" ht="15.75" x14ac:dyDescent="0.25">
      <c r="A945" s="57"/>
      <c r="B945" s="76"/>
      <c r="C945" s="57"/>
      <c r="D945" s="8" t="s">
        <v>778</v>
      </c>
      <c r="E945" s="65"/>
      <c r="F945" s="57"/>
      <c r="G945" s="1">
        <v>8722.1476000000002</v>
      </c>
      <c r="H945" s="1">
        <v>3253.7999999999997</v>
      </c>
      <c r="I945" s="1">
        <v>2812.2</v>
      </c>
      <c r="J945" s="1">
        <v>2183.4</v>
      </c>
      <c r="K945" s="1">
        <v>2155.2000000000003</v>
      </c>
    </row>
    <row r="946" spans="1:11" ht="15.75" customHeight="1" x14ac:dyDescent="0.25">
      <c r="A946" s="55" t="s">
        <v>936</v>
      </c>
      <c r="B946" s="76"/>
      <c r="C946" s="55" t="s">
        <v>779</v>
      </c>
      <c r="D946" s="8" t="s">
        <v>780</v>
      </c>
      <c r="E946" s="8" t="s">
        <v>719</v>
      </c>
      <c r="F946" s="9" t="s">
        <v>68</v>
      </c>
      <c r="G946" s="10">
        <f>2785+45+2785</f>
        <v>5615</v>
      </c>
      <c r="H946" s="10" t="s">
        <v>165</v>
      </c>
      <c r="I946" s="10" t="s">
        <v>165</v>
      </c>
      <c r="J946" s="10" t="s">
        <v>165</v>
      </c>
      <c r="K946" s="10" t="s">
        <v>165</v>
      </c>
    </row>
    <row r="947" spans="1:11" ht="39" customHeight="1" x14ac:dyDescent="0.25">
      <c r="A947" s="56"/>
      <c r="B947" s="76"/>
      <c r="C947" s="56"/>
      <c r="D947" s="8" t="s">
        <v>1488</v>
      </c>
      <c r="E947" s="8" t="s">
        <v>1489</v>
      </c>
      <c r="F947" s="9" t="s">
        <v>504</v>
      </c>
      <c r="G947" s="10" t="s">
        <v>165</v>
      </c>
      <c r="H947" s="10">
        <f>3654+27</f>
        <v>3681</v>
      </c>
      <c r="I947" s="10">
        <f t="shared" ref="I947:K947" si="24">3654+27</f>
        <v>3681</v>
      </c>
      <c r="J947" s="10">
        <f t="shared" si="24"/>
        <v>3681</v>
      </c>
      <c r="K947" s="10">
        <f t="shared" si="24"/>
        <v>3681</v>
      </c>
    </row>
    <row r="948" spans="1:11" ht="39" customHeight="1" x14ac:dyDescent="0.25">
      <c r="A948" s="56"/>
      <c r="B948" s="76"/>
      <c r="C948" s="56"/>
      <c r="D948" s="8" t="s">
        <v>1530</v>
      </c>
      <c r="E948" s="8" t="s">
        <v>1489</v>
      </c>
      <c r="F948" s="9" t="s">
        <v>504</v>
      </c>
      <c r="G948" s="10" t="s">
        <v>165</v>
      </c>
      <c r="H948" s="10">
        <v>5000</v>
      </c>
      <c r="I948" s="10">
        <v>5000</v>
      </c>
      <c r="J948" s="10">
        <v>5000</v>
      </c>
      <c r="K948" s="10">
        <v>5000</v>
      </c>
    </row>
    <row r="949" spans="1:11" ht="31.5" customHeight="1" x14ac:dyDescent="0.25">
      <c r="A949" s="56"/>
      <c r="B949" s="76"/>
      <c r="C949" s="56"/>
      <c r="D949" s="8" t="s">
        <v>770</v>
      </c>
      <c r="E949" s="64" t="s">
        <v>609</v>
      </c>
      <c r="F949" s="55" t="s">
        <v>109</v>
      </c>
      <c r="G949" s="1">
        <v>145265.59999999998</v>
      </c>
      <c r="H949" s="1">
        <v>196292.88</v>
      </c>
      <c r="I949" s="1">
        <v>167133.96000000002</v>
      </c>
      <c r="J949" s="1">
        <v>139071.24000000002</v>
      </c>
      <c r="K949" s="1">
        <v>136001.88</v>
      </c>
    </row>
    <row r="950" spans="1:11" ht="15.75" x14ac:dyDescent="0.25">
      <c r="A950" s="56"/>
      <c r="B950" s="76"/>
      <c r="C950" s="56"/>
      <c r="D950" s="8" t="s">
        <v>772</v>
      </c>
      <c r="E950" s="71"/>
      <c r="F950" s="56"/>
      <c r="G950" s="1">
        <v>7656.55</v>
      </c>
      <c r="H950" s="1">
        <v>2910.864</v>
      </c>
      <c r="I950" s="1">
        <v>2285.83</v>
      </c>
      <c r="J950" s="1">
        <v>1898.4140000000002</v>
      </c>
      <c r="K950" s="1">
        <v>1860.0140000000001</v>
      </c>
    </row>
    <row r="951" spans="1:11" ht="15.75" x14ac:dyDescent="0.25">
      <c r="A951" s="57"/>
      <c r="B951" s="76"/>
      <c r="C951" s="57"/>
      <c r="D951" s="8" t="s">
        <v>777</v>
      </c>
      <c r="E951" s="65"/>
      <c r="F951" s="57"/>
      <c r="G951" s="1">
        <v>1952</v>
      </c>
      <c r="H951" s="1">
        <v>22000</v>
      </c>
      <c r="I951" s="1">
        <v>21850</v>
      </c>
      <c r="J951" s="1">
        <v>17050</v>
      </c>
      <c r="K951" s="1">
        <v>17050</v>
      </c>
    </row>
    <row r="952" spans="1:11" ht="15.75" x14ac:dyDescent="0.25">
      <c r="A952" s="55" t="s">
        <v>937</v>
      </c>
      <c r="B952" s="76"/>
      <c r="C952" s="55" t="s">
        <v>420</v>
      </c>
      <c r="D952" s="8" t="s">
        <v>421</v>
      </c>
      <c r="E952" s="8" t="s">
        <v>719</v>
      </c>
      <c r="F952" s="9" t="s">
        <v>68</v>
      </c>
      <c r="G952" s="10">
        <f>927+45+51</f>
        <v>1023</v>
      </c>
      <c r="H952" s="10" t="s">
        <v>165</v>
      </c>
      <c r="I952" s="10" t="s">
        <v>165</v>
      </c>
      <c r="J952" s="10" t="s">
        <v>165</v>
      </c>
      <c r="K952" s="10" t="s">
        <v>165</v>
      </c>
    </row>
    <row r="953" spans="1:11" ht="31.5" x14ac:dyDescent="0.25">
      <c r="A953" s="56"/>
      <c r="B953" s="76"/>
      <c r="C953" s="56"/>
      <c r="D953" s="8" t="s">
        <v>1490</v>
      </c>
      <c r="E953" s="8" t="s">
        <v>719</v>
      </c>
      <c r="F953" s="9" t="s">
        <v>68</v>
      </c>
      <c r="G953" s="10" t="s">
        <v>165</v>
      </c>
      <c r="H953" s="10">
        <f>802+27</f>
        <v>829</v>
      </c>
      <c r="I953" s="10">
        <f t="shared" ref="I953:K953" si="25">802+27</f>
        <v>829</v>
      </c>
      <c r="J953" s="10">
        <f t="shared" si="25"/>
        <v>829</v>
      </c>
      <c r="K953" s="10">
        <f t="shared" si="25"/>
        <v>829</v>
      </c>
    </row>
    <row r="954" spans="1:11" ht="31.5" x14ac:dyDescent="0.25">
      <c r="A954" s="56"/>
      <c r="B954" s="76"/>
      <c r="C954" s="56"/>
      <c r="D954" s="8" t="s">
        <v>1491</v>
      </c>
      <c r="E954" s="8" t="s">
        <v>719</v>
      </c>
      <c r="F954" s="9" t="s">
        <v>68</v>
      </c>
      <c r="G954" s="10" t="s">
        <v>165</v>
      </c>
      <c r="H954" s="10">
        <v>60</v>
      </c>
      <c r="I954" s="10">
        <v>60</v>
      </c>
      <c r="J954" s="10">
        <v>60</v>
      </c>
      <c r="K954" s="10">
        <v>60</v>
      </c>
    </row>
    <row r="955" spans="1:11" ht="33" customHeight="1" x14ac:dyDescent="0.25">
      <c r="A955" s="56"/>
      <c r="B955" s="76"/>
      <c r="C955" s="56"/>
      <c r="D955" s="8" t="s">
        <v>771</v>
      </c>
      <c r="E955" s="64" t="s">
        <v>609</v>
      </c>
      <c r="F955" s="55" t="s">
        <v>109</v>
      </c>
      <c r="G955" s="1">
        <v>48352.3</v>
      </c>
      <c r="H955" s="1">
        <v>43083.44</v>
      </c>
      <c r="I955" s="1">
        <v>36683.480000000003</v>
      </c>
      <c r="J955" s="1">
        <v>30524.120000000003</v>
      </c>
      <c r="K955" s="1">
        <v>29850.44</v>
      </c>
    </row>
    <row r="956" spans="1:11" ht="15.75" x14ac:dyDescent="0.25">
      <c r="A956" s="56"/>
      <c r="B956" s="76"/>
      <c r="C956" s="56"/>
      <c r="D956" s="8" t="s">
        <v>772</v>
      </c>
      <c r="E956" s="71"/>
      <c r="F956" s="56"/>
      <c r="G956" s="1">
        <v>7656.55</v>
      </c>
      <c r="H956" s="1">
        <v>2910.7350000000001</v>
      </c>
      <c r="I956" s="1">
        <v>2454.44</v>
      </c>
      <c r="J956" s="1">
        <v>1898.1540000000002</v>
      </c>
      <c r="K956" s="1">
        <v>1859.8140000000001</v>
      </c>
    </row>
    <row r="957" spans="1:11" ht="15.75" x14ac:dyDescent="0.25">
      <c r="A957" s="57"/>
      <c r="B957" s="76"/>
      <c r="C957" s="57"/>
      <c r="D957" s="8" t="s">
        <v>778</v>
      </c>
      <c r="E957" s="65"/>
      <c r="F957" s="57"/>
      <c r="G957" s="1">
        <v>13885.39</v>
      </c>
      <c r="H957" s="1">
        <v>3253.7999999999997</v>
      </c>
      <c r="I957" s="1">
        <v>2812.2</v>
      </c>
      <c r="J957" s="1">
        <v>2183.4</v>
      </c>
      <c r="K957" s="1">
        <v>2155.2000000000003</v>
      </c>
    </row>
    <row r="958" spans="1:11" ht="15.75" x14ac:dyDescent="0.25">
      <c r="A958" s="55" t="s">
        <v>938</v>
      </c>
      <c r="B958" s="76"/>
      <c r="C958" s="55" t="s">
        <v>781</v>
      </c>
      <c r="D958" s="8" t="s">
        <v>782</v>
      </c>
      <c r="E958" s="8" t="s">
        <v>719</v>
      </c>
      <c r="F958" s="9" t="s">
        <v>68</v>
      </c>
      <c r="G958" s="10">
        <f>1073+2412</f>
        <v>3485</v>
      </c>
      <c r="H958" s="10" t="s">
        <v>165</v>
      </c>
      <c r="I958" s="10" t="s">
        <v>165</v>
      </c>
      <c r="J958" s="10" t="s">
        <v>165</v>
      </c>
      <c r="K958" s="10" t="s">
        <v>165</v>
      </c>
    </row>
    <row r="959" spans="1:11" ht="31.5" x14ac:dyDescent="0.25">
      <c r="A959" s="56"/>
      <c r="B959" s="76"/>
      <c r="C959" s="56"/>
      <c r="D959" s="8" t="s">
        <v>1492</v>
      </c>
      <c r="E959" s="8" t="s">
        <v>719</v>
      </c>
      <c r="F959" s="9" t="s">
        <v>68</v>
      </c>
      <c r="G959" s="10" t="s">
        <v>165</v>
      </c>
      <c r="H959" s="10">
        <v>732</v>
      </c>
      <c r="I959" s="10">
        <v>732</v>
      </c>
      <c r="J959" s="10">
        <v>732</v>
      </c>
      <c r="K959" s="10">
        <v>732</v>
      </c>
    </row>
    <row r="960" spans="1:11" ht="31.5" x14ac:dyDescent="0.25">
      <c r="A960" s="56"/>
      <c r="B960" s="76"/>
      <c r="C960" s="56"/>
      <c r="D960" s="8" t="s">
        <v>1493</v>
      </c>
      <c r="E960" s="8" t="s">
        <v>719</v>
      </c>
      <c r="F960" s="9" t="s">
        <v>68</v>
      </c>
      <c r="G960" s="10">
        <v>45</v>
      </c>
      <c r="H960" s="10">
        <v>45</v>
      </c>
      <c r="I960" s="10">
        <v>45</v>
      </c>
      <c r="J960" s="10">
        <v>45</v>
      </c>
      <c r="K960" s="10">
        <v>45</v>
      </c>
    </row>
    <row r="961" spans="1:11" ht="31.5" x14ac:dyDescent="0.25">
      <c r="A961" s="56"/>
      <c r="B961" s="76"/>
      <c r="C961" s="56"/>
      <c r="D961" s="8" t="s">
        <v>771</v>
      </c>
      <c r="E961" s="64" t="s">
        <v>609</v>
      </c>
      <c r="F961" s="55" t="s">
        <v>109</v>
      </c>
      <c r="G961" s="1">
        <v>55943.199999999997</v>
      </c>
      <c r="H961" s="1">
        <v>39323.040000000001</v>
      </c>
      <c r="I961" s="1">
        <v>33454.42</v>
      </c>
      <c r="J961" s="1">
        <v>27852.280000000002</v>
      </c>
      <c r="K961" s="1">
        <v>27211.16</v>
      </c>
    </row>
    <row r="962" spans="1:11" ht="15.75" x14ac:dyDescent="0.25">
      <c r="A962" s="56"/>
      <c r="B962" s="76"/>
      <c r="C962" s="56"/>
      <c r="D962" s="8" t="s">
        <v>772</v>
      </c>
      <c r="E962" s="71"/>
      <c r="F962" s="56"/>
      <c r="G962" s="1">
        <v>7656.5510000000004</v>
      </c>
      <c r="H962" s="1">
        <v>4851.2250000000004</v>
      </c>
      <c r="I962" s="1">
        <v>4090.7249999999999</v>
      </c>
      <c r="J962" s="1">
        <v>3163.59</v>
      </c>
      <c r="K962" s="1">
        <v>3099.69</v>
      </c>
    </row>
    <row r="963" spans="1:11" ht="15.75" x14ac:dyDescent="0.25">
      <c r="A963" s="57"/>
      <c r="B963" s="76"/>
      <c r="C963" s="57"/>
      <c r="D963" s="8" t="s">
        <v>777</v>
      </c>
      <c r="E963" s="65"/>
      <c r="F963" s="57"/>
      <c r="G963" s="1">
        <v>16344</v>
      </c>
      <c r="H963" s="1">
        <v>0</v>
      </c>
      <c r="I963" s="1">
        <v>0</v>
      </c>
      <c r="J963" s="1">
        <v>0</v>
      </c>
      <c r="K963" s="1">
        <v>0</v>
      </c>
    </row>
    <row r="964" spans="1:11" ht="15.75" x14ac:dyDescent="0.25">
      <c r="A964" s="55" t="s">
        <v>1574</v>
      </c>
      <c r="B964" s="76"/>
      <c r="C964" s="55" t="s">
        <v>785</v>
      </c>
      <c r="D964" s="8" t="s">
        <v>784</v>
      </c>
      <c r="E964" s="8" t="s">
        <v>787</v>
      </c>
      <c r="F964" s="9" t="s">
        <v>68</v>
      </c>
      <c r="G964" s="10">
        <v>3043</v>
      </c>
      <c r="H964" s="10" t="s">
        <v>165</v>
      </c>
      <c r="I964" s="10" t="s">
        <v>165</v>
      </c>
      <c r="J964" s="10" t="s">
        <v>165</v>
      </c>
      <c r="K964" s="10" t="s">
        <v>165</v>
      </c>
    </row>
    <row r="965" spans="1:11" ht="31.5" x14ac:dyDescent="0.25">
      <c r="A965" s="56"/>
      <c r="B965" s="76"/>
      <c r="C965" s="56"/>
      <c r="D965" s="8" t="s">
        <v>1514</v>
      </c>
      <c r="E965" s="8" t="s">
        <v>1515</v>
      </c>
      <c r="F965" s="9" t="s">
        <v>68</v>
      </c>
      <c r="G965" s="10" t="s">
        <v>165</v>
      </c>
      <c r="H965" s="10">
        <v>450</v>
      </c>
      <c r="I965" s="10">
        <v>450</v>
      </c>
      <c r="J965" s="10">
        <v>450</v>
      </c>
      <c r="K965" s="10">
        <v>450</v>
      </c>
    </row>
    <row r="966" spans="1:11" ht="47.25" x14ac:dyDescent="0.25">
      <c r="A966" s="56"/>
      <c r="B966" s="76"/>
      <c r="C966" s="56"/>
      <c r="D966" s="8" t="s">
        <v>1516</v>
      </c>
      <c r="E966" s="8" t="s">
        <v>1517</v>
      </c>
      <c r="F966" s="9" t="s">
        <v>68</v>
      </c>
      <c r="G966" s="10" t="s">
        <v>165</v>
      </c>
      <c r="H966" s="10">
        <v>1150</v>
      </c>
      <c r="I966" s="10">
        <v>1150</v>
      </c>
      <c r="J966" s="10">
        <v>1150</v>
      </c>
      <c r="K966" s="10">
        <v>1150</v>
      </c>
    </row>
    <row r="967" spans="1:11" ht="31.5" x14ac:dyDescent="0.25">
      <c r="A967" s="56"/>
      <c r="B967" s="76"/>
      <c r="C967" s="56"/>
      <c r="D967" s="8" t="s">
        <v>1518</v>
      </c>
      <c r="E967" s="8" t="s">
        <v>1519</v>
      </c>
      <c r="F967" s="9" t="s">
        <v>68</v>
      </c>
      <c r="G967" s="10" t="s">
        <v>165</v>
      </c>
      <c r="H967" s="10">
        <v>750</v>
      </c>
      <c r="I967" s="10">
        <v>750</v>
      </c>
      <c r="J967" s="10">
        <v>750</v>
      </c>
      <c r="K967" s="10">
        <v>750</v>
      </c>
    </row>
    <row r="968" spans="1:11" ht="31.5" x14ac:dyDescent="0.25">
      <c r="A968" s="56"/>
      <c r="B968" s="76"/>
      <c r="C968" s="56"/>
      <c r="D968" s="8" t="s">
        <v>1520</v>
      </c>
      <c r="E968" s="8" t="s">
        <v>1526</v>
      </c>
      <c r="F968" s="9" t="s">
        <v>68</v>
      </c>
      <c r="G968" s="10" t="s">
        <v>165</v>
      </c>
      <c r="H968" s="10">
        <v>450</v>
      </c>
      <c r="I968" s="10">
        <v>450</v>
      </c>
      <c r="J968" s="10">
        <v>450</v>
      </c>
      <c r="K968" s="10">
        <v>450</v>
      </c>
    </row>
    <row r="969" spans="1:11" ht="63" x14ac:dyDescent="0.25">
      <c r="A969" s="57"/>
      <c r="B969" s="76"/>
      <c r="C969" s="57"/>
      <c r="D969" s="8" t="s">
        <v>790</v>
      </c>
      <c r="E969" s="20" t="s">
        <v>609</v>
      </c>
      <c r="F969" s="9" t="s">
        <v>109</v>
      </c>
      <c r="G969" s="1">
        <v>5686</v>
      </c>
      <c r="H969" s="1">
        <f>1980+5060+3300+1980</f>
        <v>12320</v>
      </c>
      <c r="I969" s="1">
        <f>1966.5+5025.5+3277.5+1966.5</f>
        <v>12236</v>
      </c>
      <c r="J969" s="1">
        <f>1534.5+3921.5+2557.5+1534.5</f>
        <v>9548</v>
      </c>
      <c r="K969" s="1">
        <f>1534.5+3921.5+2557.5+1534.5</f>
        <v>9548</v>
      </c>
    </row>
    <row r="970" spans="1:11" ht="33" customHeight="1" x14ac:dyDescent="0.25">
      <c r="A970" s="55" t="s">
        <v>939</v>
      </c>
      <c r="B970" s="76"/>
      <c r="C970" s="55" t="s">
        <v>788</v>
      </c>
      <c r="D970" s="8" t="s">
        <v>425</v>
      </c>
      <c r="E970" s="8" t="s">
        <v>789</v>
      </c>
      <c r="F970" s="9" t="s">
        <v>68</v>
      </c>
      <c r="G970" s="10">
        <v>364</v>
      </c>
      <c r="H970" s="10" t="s">
        <v>165</v>
      </c>
      <c r="I970" s="10" t="s">
        <v>165</v>
      </c>
      <c r="J970" s="10" t="s">
        <v>165</v>
      </c>
      <c r="K970" s="10" t="s">
        <v>165</v>
      </c>
    </row>
    <row r="971" spans="1:11" ht="33" customHeight="1" x14ac:dyDescent="0.25">
      <c r="A971" s="56"/>
      <c r="B971" s="76"/>
      <c r="C971" s="56"/>
      <c r="D971" s="8" t="s">
        <v>1494</v>
      </c>
      <c r="E971" s="8" t="s">
        <v>789</v>
      </c>
      <c r="F971" s="9" t="s">
        <v>68</v>
      </c>
      <c r="G971" s="10" t="s">
        <v>165</v>
      </c>
      <c r="H971" s="10">
        <v>364</v>
      </c>
      <c r="I971" s="10">
        <v>364</v>
      </c>
      <c r="J971" s="10">
        <v>364</v>
      </c>
      <c r="K971" s="10">
        <v>364</v>
      </c>
    </row>
    <row r="972" spans="1:11" ht="63" x14ac:dyDescent="0.25">
      <c r="A972" s="56"/>
      <c r="B972" s="76"/>
      <c r="C972" s="56"/>
      <c r="D972" s="8" t="s">
        <v>793</v>
      </c>
      <c r="E972" s="20" t="s">
        <v>609</v>
      </c>
      <c r="F972" s="9" t="s">
        <v>109</v>
      </c>
      <c r="G972" s="1">
        <v>17628.7</v>
      </c>
      <c r="H972" s="1">
        <v>19739.719999999998</v>
      </c>
      <c r="I972" s="1">
        <v>17060.68</v>
      </c>
      <c r="J972" s="1">
        <v>13245.960000000001</v>
      </c>
      <c r="K972" s="1">
        <v>13074.880000000001</v>
      </c>
    </row>
    <row r="973" spans="1:11" ht="31.5" x14ac:dyDescent="0.25">
      <c r="A973" s="56"/>
      <c r="B973" s="76"/>
      <c r="C973" s="56"/>
      <c r="D973" s="8" t="s">
        <v>425</v>
      </c>
      <c r="E973" s="8" t="s">
        <v>791</v>
      </c>
      <c r="F973" s="9" t="s">
        <v>68</v>
      </c>
      <c r="G973" s="10">
        <v>337</v>
      </c>
      <c r="H973" s="10" t="s">
        <v>165</v>
      </c>
      <c r="I973" s="10" t="s">
        <v>165</v>
      </c>
      <c r="J973" s="10" t="s">
        <v>165</v>
      </c>
      <c r="K973" s="10" t="s">
        <v>165</v>
      </c>
    </row>
    <row r="974" spans="1:11" ht="31.5" x14ac:dyDescent="0.25">
      <c r="A974" s="56"/>
      <c r="B974" s="76"/>
      <c r="C974" s="56"/>
      <c r="D974" s="8" t="s">
        <v>1495</v>
      </c>
      <c r="E974" s="8" t="s">
        <v>791</v>
      </c>
      <c r="F974" s="9" t="s">
        <v>68</v>
      </c>
      <c r="G974" s="10" t="s">
        <v>165</v>
      </c>
      <c r="H974" s="10">
        <v>337</v>
      </c>
      <c r="I974" s="10">
        <v>337</v>
      </c>
      <c r="J974" s="10">
        <v>337</v>
      </c>
      <c r="K974" s="10">
        <v>337</v>
      </c>
    </row>
    <row r="975" spans="1:11" ht="63" x14ac:dyDescent="0.25">
      <c r="A975" s="56"/>
      <c r="B975" s="76"/>
      <c r="C975" s="56"/>
      <c r="D975" s="8" t="s">
        <v>793</v>
      </c>
      <c r="E975" s="20" t="s">
        <v>609</v>
      </c>
      <c r="F975" s="9" t="s">
        <v>109</v>
      </c>
      <c r="G975" s="1">
        <v>16334.7</v>
      </c>
      <c r="H975" s="1">
        <v>18275.509999999998</v>
      </c>
      <c r="I975" s="1">
        <v>15795.189999999999</v>
      </c>
      <c r="J975" s="1">
        <v>12263.43</v>
      </c>
      <c r="K975" s="1">
        <v>12105.04</v>
      </c>
    </row>
    <row r="976" spans="1:11" ht="47.25" x14ac:dyDescent="0.25">
      <c r="A976" s="56"/>
      <c r="B976" s="76"/>
      <c r="C976" s="56"/>
      <c r="D976" s="8" t="s">
        <v>425</v>
      </c>
      <c r="E976" s="8" t="s">
        <v>792</v>
      </c>
      <c r="F976" s="9" t="s">
        <v>68</v>
      </c>
      <c r="G976" s="10">
        <v>32</v>
      </c>
      <c r="H976" s="10" t="s">
        <v>165</v>
      </c>
      <c r="I976" s="10" t="s">
        <v>165</v>
      </c>
      <c r="J976" s="10" t="s">
        <v>165</v>
      </c>
      <c r="K976" s="10" t="s">
        <v>165</v>
      </c>
    </row>
    <row r="977" spans="1:11" ht="47.25" x14ac:dyDescent="0.25">
      <c r="A977" s="56"/>
      <c r="B977" s="76"/>
      <c r="C977" s="56"/>
      <c r="D977" s="8" t="s">
        <v>1496</v>
      </c>
      <c r="E977" s="8" t="s">
        <v>792</v>
      </c>
      <c r="F977" s="9" t="s">
        <v>68</v>
      </c>
      <c r="G977" s="10" t="s">
        <v>165</v>
      </c>
      <c r="H977" s="10">
        <v>32</v>
      </c>
      <c r="I977" s="10">
        <v>32</v>
      </c>
      <c r="J977" s="10">
        <v>32</v>
      </c>
      <c r="K977" s="10">
        <v>32</v>
      </c>
    </row>
    <row r="978" spans="1:11" ht="63" x14ac:dyDescent="0.25">
      <c r="A978" s="57"/>
      <c r="B978" s="76"/>
      <c r="C978" s="57"/>
      <c r="D978" s="8" t="s">
        <v>793</v>
      </c>
      <c r="E978" s="20" t="s">
        <v>609</v>
      </c>
      <c r="F978" s="9" t="s">
        <v>109</v>
      </c>
      <c r="G978" s="1">
        <v>1717.4</v>
      </c>
      <c r="H978" s="1">
        <v>1735.36</v>
      </c>
      <c r="I978" s="1">
        <v>1499.84</v>
      </c>
      <c r="J978" s="1">
        <v>1164.48</v>
      </c>
      <c r="K978" s="1">
        <v>1149.44</v>
      </c>
    </row>
    <row r="979" spans="1:11" ht="64.5" customHeight="1" x14ac:dyDescent="0.25">
      <c r="A979" s="55" t="s">
        <v>940</v>
      </c>
      <c r="B979" s="76"/>
      <c r="C979" s="55" t="s">
        <v>783</v>
      </c>
      <c r="D979" s="8" t="s">
        <v>794</v>
      </c>
      <c r="E979" s="8" t="s">
        <v>795</v>
      </c>
      <c r="F979" s="9" t="s">
        <v>68</v>
      </c>
      <c r="G979" s="10">
        <v>3500</v>
      </c>
      <c r="H979" s="10" t="s">
        <v>165</v>
      </c>
      <c r="I979" s="10" t="s">
        <v>165</v>
      </c>
      <c r="J979" s="10" t="s">
        <v>165</v>
      </c>
      <c r="K979" s="10" t="s">
        <v>165</v>
      </c>
    </row>
    <row r="980" spans="1:11" ht="30" customHeight="1" x14ac:dyDescent="0.25">
      <c r="A980" s="56"/>
      <c r="B980" s="76"/>
      <c r="C980" s="56"/>
      <c r="D980" s="8" t="s">
        <v>1521</v>
      </c>
      <c r="E980" s="8" t="s">
        <v>1515</v>
      </c>
      <c r="F980" s="9" t="s">
        <v>68</v>
      </c>
      <c r="G980" s="10" t="s">
        <v>165</v>
      </c>
      <c r="H980" s="10">
        <v>1200</v>
      </c>
      <c r="I980" s="10">
        <v>1200</v>
      </c>
      <c r="J980" s="10">
        <v>1200</v>
      </c>
      <c r="K980" s="10">
        <v>1200</v>
      </c>
    </row>
    <row r="981" spans="1:11" ht="31.5" customHeight="1" x14ac:dyDescent="0.25">
      <c r="A981" s="56"/>
      <c r="B981" s="76"/>
      <c r="C981" s="56"/>
      <c r="D981" s="8" t="s">
        <v>1522</v>
      </c>
      <c r="E981" s="8" t="s">
        <v>1517</v>
      </c>
      <c r="F981" s="9" t="s">
        <v>68</v>
      </c>
      <c r="G981" s="10" t="s">
        <v>165</v>
      </c>
      <c r="H981" s="10">
        <v>300</v>
      </c>
      <c r="I981" s="10">
        <v>300</v>
      </c>
      <c r="J981" s="10">
        <v>300</v>
      </c>
      <c r="K981" s="10">
        <v>300</v>
      </c>
    </row>
    <row r="982" spans="1:11" ht="31.5" customHeight="1" x14ac:dyDescent="0.25">
      <c r="A982" s="56"/>
      <c r="B982" s="76"/>
      <c r="C982" s="56"/>
      <c r="D982" s="8" t="s">
        <v>1523</v>
      </c>
      <c r="E982" s="8" t="s">
        <v>1519</v>
      </c>
      <c r="F982" s="9" t="s">
        <v>68</v>
      </c>
      <c r="G982" s="10" t="s">
        <v>165</v>
      </c>
      <c r="H982" s="10">
        <v>50</v>
      </c>
      <c r="I982" s="10">
        <v>50</v>
      </c>
      <c r="J982" s="10">
        <v>50</v>
      </c>
      <c r="K982" s="10">
        <v>50</v>
      </c>
    </row>
    <row r="983" spans="1:11" ht="31.5" customHeight="1" x14ac:dyDescent="0.25">
      <c r="A983" s="56"/>
      <c r="B983" s="76"/>
      <c r="C983" s="56"/>
      <c r="D983" s="8" t="s">
        <v>1524</v>
      </c>
      <c r="E983" s="8" t="s">
        <v>1526</v>
      </c>
      <c r="F983" s="9" t="s">
        <v>68</v>
      </c>
      <c r="G983" s="10" t="s">
        <v>165</v>
      </c>
      <c r="H983" s="10">
        <v>50</v>
      </c>
      <c r="I983" s="10">
        <v>50</v>
      </c>
      <c r="J983" s="10">
        <v>50</v>
      </c>
      <c r="K983" s="10">
        <v>50</v>
      </c>
    </row>
    <row r="984" spans="1:11" ht="31.5" customHeight="1" x14ac:dyDescent="0.25">
      <c r="A984" s="56"/>
      <c r="B984" s="76"/>
      <c r="C984" s="56"/>
      <c r="D984" s="8" t="s">
        <v>1525</v>
      </c>
      <c r="E984" s="8" t="s">
        <v>787</v>
      </c>
      <c r="F984" s="9" t="s">
        <v>68</v>
      </c>
      <c r="G984" s="10" t="s">
        <v>165</v>
      </c>
      <c r="H984" s="10">
        <v>120</v>
      </c>
      <c r="I984" s="10">
        <v>120</v>
      </c>
      <c r="J984" s="10">
        <v>120</v>
      </c>
      <c r="K984" s="10">
        <v>120</v>
      </c>
    </row>
    <row r="985" spans="1:11" ht="63" x14ac:dyDescent="0.25">
      <c r="A985" s="57"/>
      <c r="B985" s="76"/>
      <c r="C985" s="57"/>
      <c r="D985" s="8" t="s">
        <v>790</v>
      </c>
      <c r="E985" s="20" t="s">
        <v>609</v>
      </c>
      <c r="F985" s="9" t="s">
        <v>109</v>
      </c>
      <c r="G985" s="1">
        <v>4832</v>
      </c>
      <c r="H985" s="1">
        <f>5280+1320+220+220+528</f>
        <v>7568</v>
      </c>
      <c r="I985" s="1">
        <f>5244+1311+218.5+218.5+524.4</f>
        <v>7516.4</v>
      </c>
      <c r="J985" s="1">
        <f>4092+1023+170.5+170.5+409.2</f>
        <v>5865.2</v>
      </c>
      <c r="K985" s="1">
        <f>4092+1023+170.5+170.5+409.2</f>
        <v>5865.2</v>
      </c>
    </row>
    <row r="986" spans="1:11" ht="37.5" customHeight="1" x14ac:dyDescent="0.25">
      <c r="A986" s="55" t="s">
        <v>941</v>
      </c>
      <c r="B986" s="76"/>
      <c r="C986" s="55" t="s">
        <v>796</v>
      </c>
      <c r="D986" s="64" t="s">
        <v>797</v>
      </c>
      <c r="E986" s="8" t="s">
        <v>370</v>
      </c>
      <c r="F986" s="9" t="s">
        <v>22</v>
      </c>
      <c r="G986" s="10">
        <f>13+2</f>
        <v>15</v>
      </c>
      <c r="H986" s="10" t="s">
        <v>165</v>
      </c>
      <c r="I986" s="10" t="s">
        <v>165</v>
      </c>
      <c r="J986" s="10" t="s">
        <v>165</v>
      </c>
      <c r="K986" s="10" t="s">
        <v>165</v>
      </c>
    </row>
    <row r="987" spans="1:11" ht="36" customHeight="1" x14ac:dyDescent="0.25">
      <c r="A987" s="56"/>
      <c r="B987" s="76"/>
      <c r="C987" s="56"/>
      <c r="D987" s="65"/>
      <c r="E987" s="8" t="s">
        <v>798</v>
      </c>
      <c r="F987" s="9" t="s">
        <v>68</v>
      </c>
      <c r="G987" s="10">
        <f>2880+192</f>
        <v>3072</v>
      </c>
      <c r="H987" s="10">
        <v>1050</v>
      </c>
      <c r="I987" s="10">
        <v>1050</v>
      </c>
      <c r="J987" s="10">
        <v>1050</v>
      </c>
      <c r="K987" s="10">
        <v>1050</v>
      </c>
    </row>
    <row r="988" spans="1:11" ht="63" customHeight="1" x14ac:dyDescent="0.25">
      <c r="A988" s="56"/>
      <c r="B988" s="76"/>
      <c r="C988" s="56"/>
      <c r="D988" s="8" t="s">
        <v>786</v>
      </c>
      <c r="E988" s="64" t="s">
        <v>609</v>
      </c>
      <c r="F988" s="55" t="s">
        <v>109</v>
      </c>
      <c r="G988" s="1">
        <v>870</v>
      </c>
      <c r="H988" s="1">
        <v>57360.89</v>
      </c>
      <c r="I988" s="1">
        <v>49226.27</v>
      </c>
      <c r="J988" s="1">
        <v>38218.19</v>
      </c>
      <c r="K988" s="1">
        <v>37726.019999999997</v>
      </c>
    </row>
    <row r="989" spans="1:11" ht="71.25" customHeight="1" x14ac:dyDescent="0.25">
      <c r="A989" s="57"/>
      <c r="B989" s="76"/>
      <c r="C989" s="57"/>
      <c r="D989" s="8" t="s">
        <v>778</v>
      </c>
      <c r="E989" s="65"/>
      <c r="F989" s="57"/>
      <c r="G989" s="1">
        <v>2501</v>
      </c>
      <c r="H989" s="1">
        <v>0</v>
      </c>
      <c r="I989" s="1">
        <v>0</v>
      </c>
      <c r="J989" s="1">
        <v>0</v>
      </c>
      <c r="K989" s="1">
        <v>0</v>
      </c>
    </row>
    <row r="990" spans="1:11" ht="31.5" x14ac:dyDescent="0.25">
      <c r="A990" s="55" t="s">
        <v>942</v>
      </c>
      <c r="B990" s="76"/>
      <c r="C990" s="55" t="s">
        <v>70</v>
      </c>
      <c r="D990" s="64" t="s">
        <v>373</v>
      </c>
      <c r="E990" s="8" t="s">
        <v>799</v>
      </c>
      <c r="F990" s="9" t="s">
        <v>68</v>
      </c>
      <c r="G990" s="10">
        <v>34755</v>
      </c>
      <c r="H990" s="10">
        <v>4800</v>
      </c>
      <c r="I990" s="10">
        <v>4800</v>
      </c>
      <c r="J990" s="10">
        <v>5000</v>
      </c>
      <c r="K990" s="10">
        <v>5000</v>
      </c>
    </row>
    <row r="991" spans="1:11" ht="31.5" x14ac:dyDescent="0.25">
      <c r="A991" s="56"/>
      <c r="B991" s="76"/>
      <c r="C991" s="56"/>
      <c r="D991" s="71"/>
      <c r="E991" s="8" t="s">
        <v>89</v>
      </c>
      <c r="F991" s="9" t="s">
        <v>61</v>
      </c>
      <c r="G991" s="10">
        <v>129</v>
      </c>
      <c r="H991" s="10" t="s">
        <v>165</v>
      </c>
      <c r="I991" s="10" t="s">
        <v>165</v>
      </c>
      <c r="J991" s="10" t="s">
        <v>165</v>
      </c>
      <c r="K991" s="10" t="s">
        <v>165</v>
      </c>
    </row>
    <row r="992" spans="1:11" ht="15.75" x14ac:dyDescent="0.25">
      <c r="A992" s="56"/>
      <c r="B992" s="76"/>
      <c r="C992" s="56"/>
      <c r="D992" s="65"/>
      <c r="E992" s="8" t="s">
        <v>787</v>
      </c>
      <c r="F992" s="9" t="s">
        <v>68</v>
      </c>
      <c r="G992" s="10">
        <v>9671</v>
      </c>
      <c r="H992" s="10" t="s">
        <v>165</v>
      </c>
      <c r="I992" s="10" t="s">
        <v>165</v>
      </c>
      <c r="J992" s="10" t="s">
        <v>165</v>
      </c>
      <c r="K992" s="10" t="s">
        <v>165</v>
      </c>
    </row>
    <row r="993" spans="1:11" ht="45" customHeight="1" x14ac:dyDescent="0.25">
      <c r="A993" s="56"/>
      <c r="B993" s="76"/>
      <c r="C993" s="56"/>
      <c r="D993" s="8" t="s">
        <v>790</v>
      </c>
      <c r="E993" s="64" t="s">
        <v>609</v>
      </c>
      <c r="F993" s="55" t="s">
        <v>109</v>
      </c>
      <c r="G993" s="1">
        <v>870</v>
      </c>
      <c r="H993" s="1">
        <v>0</v>
      </c>
      <c r="I993" s="1">
        <v>0</v>
      </c>
      <c r="J993" s="1">
        <v>0</v>
      </c>
      <c r="K993" s="1">
        <v>0</v>
      </c>
    </row>
    <row r="994" spans="1:11" ht="15.75" x14ac:dyDescent="0.25">
      <c r="A994" s="57"/>
      <c r="B994" s="76"/>
      <c r="C994" s="57"/>
      <c r="D994" s="8" t="s">
        <v>823</v>
      </c>
      <c r="E994" s="65"/>
      <c r="F994" s="57"/>
      <c r="G994" s="1">
        <v>21040.75</v>
      </c>
      <c r="H994" s="1">
        <v>8496</v>
      </c>
      <c r="I994" s="1">
        <v>6768</v>
      </c>
      <c r="J994" s="1">
        <v>5325</v>
      </c>
      <c r="K994" s="1">
        <v>5135</v>
      </c>
    </row>
    <row r="995" spans="1:11" ht="47.25" x14ac:dyDescent="0.25">
      <c r="A995" s="55" t="s">
        <v>943</v>
      </c>
      <c r="B995" s="76"/>
      <c r="C995" s="55" t="s">
        <v>154</v>
      </c>
      <c r="D995" s="8" t="s">
        <v>155</v>
      </c>
      <c r="E995" s="8" t="s">
        <v>800</v>
      </c>
      <c r="F995" s="9" t="s">
        <v>61</v>
      </c>
      <c r="G995" s="10">
        <v>9</v>
      </c>
      <c r="H995" s="10" t="s">
        <v>165</v>
      </c>
      <c r="I995" s="10" t="s">
        <v>165</v>
      </c>
      <c r="J995" s="10" t="s">
        <v>165</v>
      </c>
      <c r="K995" s="10" t="s">
        <v>165</v>
      </c>
    </row>
    <row r="996" spans="1:11" ht="63" x14ac:dyDescent="0.25">
      <c r="A996" s="57"/>
      <c r="B996" s="76"/>
      <c r="C996" s="57"/>
      <c r="D996" s="8" t="s">
        <v>790</v>
      </c>
      <c r="E996" s="20" t="s">
        <v>609</v>
      </c>
      <c r="F996" s="9" t="s">
        <v>109</v>
      </c>
      <c r="G996" s="1">
        <v>1116.1500000000001</v>
      </c>
      <c r="H996" s="1">
        <v>0</v>
      </c>
      <c r="I996" s="1">
        <v>0</v>
      </c>
      <c r="J996" s="1">
        <v>0</v>
      </c>
      <c r="K996" s="1">
        <v>0</v>
      </c>
    </row>
    <row r="997" spans="1:11" ht="47.25" x14ac:dyDescent="0.25">
      <c r="A997" s="55" t="s">
        <v>944</v>
      </c>
      <c r="B997" s="76"/>
      <c r="C997" s="55" t="s">
        <v>371</v>
      </c>
      <c r="D997" s="8" t="s">
        <v>801</v>
      </c>
      <c r="E997" s="8" t="s">
        <v>558</v>
      </c>
      <c r="F997" s="9" t="s">
        <v>61</v>
      </c>
      <c r="G997" s="10">
        <f>95+60</f>
        <v>155</v>
      </c>
      <c r="H997" s="10" t="s">
        <v>165</v>
      </c>
      <c r="I997" s="10" t="s">
        <v>165</v>
      </c>
      <c r="J997" s="10" t="s">
        <v>165</v>
      </c>
      <c r="K997" s="10" t="s">
        <v>165</v>
      </c>
    </row>
    <row r="998" spans="1:11" ht="49.5" customHeight="1" x14ac:dyDescent="0.25">
      <c r="A998" s="56"/>
      <c r="B998" s="76"/>
      <c r="C998" s="56"/>
      <c r="D998" s="8" t="s">
        <v>786</v>
      </c>
      <c r="E998" s="64" t="s">
        <v>609</v>
      </c>
      <c r="F998" s="55" t="s">
        <v>109</v>
      </c>
      <c r="G998" s="1">
        <v>870</v>
      </c>
      <c r="H998" s="1">
        <v>0</v>
      </c>
      <c r="I998" s="1">
        <v>0</v>
      </c>
      <c r="J998" s="1">
        <v>0</v>
      </c>
      <c r="K998" s="1">
        <v>0</v>
      </c>
    </row>
    <row r="999" spans="1:11" ht="24" customHeight="1" x14ac:dyDescent="0.25">
      <c r="A999" s="57"/>
      <c r="B999" s="76"/>
      <c r="C999" s="57"/>
      <c r="D999" s="8" t="s">
        <v>778</v>
      </c>
      <c r="E999" s="65"/>
      <c r="F999" s="57"/>
      <c r="G999" s="1">
        <v>1574.69</v>
      </c>
      <c r="H999" s="1">
        <v>0</v>
      </c>
      <c r="I999" s="1">
        <v>0</v>
      </c>
      <c r="J999" s="1">
        <v>0</v>
      </c>
      <c r="K999" s="1">
        <v>0</v>
      </c>
    </row>
    <row r="1000" spans="1:11" ht="94.5" x14ac:dyDescent="0.25">
      <c r="A1000" s="55" t="s">
        <v>945</v>
      </c>
      <c r="B1000" s="76"/>
      <c r="C1000" s="55" t="s">
        <v>528</v>
      </c>
      <c r="D1000" s="8" t="s">
        <v>527</v>
      </c>
      <c r="E1000" s="8" t="s">
        <v>802</v>
      </c>
      <c r="F1000" s="9" t="s">
        <v>68</v>
      </c>
      <c r="G1000" s="10">
        <f>4384+692+83</f>
        <v>5159</v>
      </c>
      <c r="H1000" s="10" t="s">
        <v>165</v>
      </c>
      <c r="I1000" s="10" t="s">
        <v>165</v>
      </c>
      <c r="J1000" s="10" t="s">
        <v>165</v>
      </c>
      <c r="K1000" s="10" t="s">
        <v>165</v>
      </c>
    </row>
    <row r="1001" spans="1:11" ht="31.5" customHeight="1" x14ac:dyDescent="0.25">
      <c r="A1001" s="56"/>
      <c r="B1001" s="76"/>
      <c r="C1001" s="56"/>
      <c r="D1001" s="64" t="s">
        <v>1535</v>
      </c>
      <c r="E1001" s="23" t="s">
        <v>458</v>
      </c>
      <c r="F1001" s="9" t="s">
        <v>68</v>
      </c>
      <c r="G1001" s="10" t="s">
        <v>165</v>
      </c>
      <c r="H1001" s="10">
        <f>151747+47160</f>
        <v>198907</v>
      </c>
      <c r="I1001" s="10">
        <f>158600+46080</f>
        <v>204680</v>
      </c>
      <c r="J1001" s="10">
        <f t="shared" ref="J1001:K1001" si="26">158600+46080</f>
        <v>204680</v>
      </c>
      <c r="K1001" s="10">
        <f t="shared" si="26"/>
        <v>204680</v>
      </c>
    </row>
    <row r="1002" spans="1:11" ht="15.75" x14ac:dyDescent="0.25">
      <c r="A1002" s="56"/>
      <c r="B1002" s="76"/>
      <c r="C1002" s="56"/>
      <c r="D1002" s="65"/>
      <c r="E1002" s="23" t="s">
        <v>415</v>
      </c>
      <c r="F1002" s="24" t="s">
        <v>1231</v>
      </c>
      <c r="G1002" s="10" t="s">
        <v>165</v>
      </c>
      <c r="H1002" s="10">
        <f>86+27</f>
        <v>113</v>
      </c>
      <c r="I1002" s="10">
        <f>90+26</f>
        <v>116</v>
      </c>
      <c r="J1002" s="10">
        <f t="shared" ref="J1002:K1002" si="27">90+26</f>
        <v>116</v>
      </c>
      <c r="K1002" s="10">
        <f t="shared" si="27"/>
        <v>116</v>
      </c>
    </row>
    <row r="1003" spans="1:11" ht="15.75" x14ac:dyDescent="0.25">
      <c r="A1003" s="56"/>
      <c r="B1003" s="76"/>
      <c r="C1003" s="56"/>
      <c r="D1003" s="64" t="s">
        <v>1536</v>
      </c>
      <c r="E1003" s="23" t="s">
        <v>458</v>
      </c>
      <c r="F1003" s="9" t="s">
        <v>68</v>
      </c>
      <c r="G1003" s="10" t="s">
        <v>165</v>
      </c>
      <c r="H1003" s="10">
        <v>69836</v>
      </c>
      <c r="I1003" s="10">
        <v>69836</v>
      </c>
      <c r="J1003" s="10">
        <v>69836</v>
      </c>
      <c r="K1003" s="10">
        <v>69836</v>
      </c>
    </row>
    <row r="1004" spans="1:11" ht="15.75" x14ac:dyDescent="0.25">
      <c r="A1004" s="56"/>
      <c r="B1004" s="76"/>
      <c r="C1004" s="56"/>
      <c r="D1004" s="65"/>
      <c r="E1004" s="23" t="s">
        <v>415</v>
      </c>
      <c r="F1004" s="24" t="s">
        <v>1231</v>
      </c>
      <c r="G1004" s="10" t="s">
        <v>165</v>
      </c>
      <c r="H1004" s="10">
        <v>39</v>
      </c>
      <c r="I1004" s="10">
        <v>39</v>
      </c>
      <c r="J1004" s="10">
        <v>39</v>
      </c>
      <c r="K1004" s="10">
        <v>39</v>
      </c>
    </row>
    <row r="1005" spans="1:11" ht="15.75" x14ac:dyDescent="0.25">
      <c r="A1005" s="56"/>
      <c r="B1005" s="76"/>
      <c r="C1005" s="56"/>
      <c r="D1005" s="64" t="s">
        <v>1546</v>
      </c>
      <c r="E1005" s="23" t="s">
        <v>458</v>
      </c>
      <c r="F1005" s="9" t="s">
        <v>68</v>
      </c>
      <c r="G1005" s="10" t="s">
        <v>165</v>
      </c>
      <c r="H1005" s="10">
        <v>5760</v>
      </c>
      <c r="I1005" s="10">
        <v>5760</v>
      </c>
      <c r="J1005" s="10">
        <v>5760</v>
      </c>
      <c r="K1005" s="10">
        <v>5760</v>
      </c>
    </row>
    <row r="1006" spans="1:11" ht="15.75" x14ac:dyDescent="0.25">
      <c r="A1006" s="56"/>
      <c r="B1006" s="76"/>
      <c r="C1006" s="56"/>
      <c r="D1006" s="65"/>
      <c r="E1006" s="23" t="s">
        <v>415</v>
      </c>
      <c r="F1006" s="24" t="s">
        <v>1231</v>
      </c>
      <c r="G1006" s="10" t="s">
        <v>165</v>
      </c>
      <c r="H1006" s="10">
        <v>3</v>
      </c>
      <c r="I1006" s="10">
        <v>3</v>
      </c>
      <c r="J1006" s="10">
        <v>3</v>
      </c>
      <c r="K1006" s="10">
        <v>3</v>
      </c>
    </row>
    <row r="1007" spans="1:11" ht="46.5" customHeight="1" x14ac:dyDescent="0.25">
      <c r="A1007" s="56"/>
      <c r="B1007" s="76"/>
      <c r="C1007" s="56"/>
      <c r="D1007" s="8" t="s">
        <v>803</v>
      </c>
      <c r="E1007" s="64" t="s">
        <v>609</v>
      </c>
      <c r="F1007" s="55" t="s">
        <v>109</v>
      </c>
      <c r="G1007" s="1">
        <v>31779.4</v>
      </c>
      <c r="H1007" s="1">
        <f>631.24+286.26</f>
        <v>917.5</v>
      </c>
      <c r="I1007" s="1">
        <f>550.8+238.68</f>
        <v>789.48</v>
      </c>
      <c r="J1007" s="1">
        <f>442.8+191.88</f>
        <v>634.68000000000006</v>
      </c>
      <c r="K1007" s="1">
        <f>403.2+174.72</f>
        <v>577.91999999999996</v>
      </c>
    </row>
    <row r="1008" spans="1:11" ht="15.75" x14ac:dyDescent="0.25">
      <c r="A1008" s="57"/>
      <c r="B1008" s="76"/>
      <c r="C1008" s="57"/>
      <c r="D1008" s="8" t="s">
        <v>804</v>
      </c>
      <c r="E1008" s="65"/>
      <c r="F1008" s="57"/>
      <c r="G1008" s="1">
        <f>9041.89522580645+1084.50477419355</f>
        <v>10126.4</v>
      </c>
      <c r="H1008" s="1">
        <f>5032.8+559.2</f>
        <v>5592</v>
      </c>
      <c r="I1008" s="1">
        <f>3068+354</f>
        <v>3422</v>
      </c>
      <c r="J1008" s="1">
        <f>2375.36+274.08</f>
        <v>2649.44</v>
      </c>
      <c r="K1008" s="1">
        <f>2326.48+268.44</f>
        <v>2594.92</v>
      </c>
    </row>
    <row r="1009" spans="1:11" ht="94.5" x14ac:dyDescent="0.25">
      <c r="A1009" s="55" t="s">
        <v>946</v>
      </c>
      <c r="B1009" s="76"/>
      <c r="C1009" s="55" t="s">
        <v>805</v>
      </c>
      <c r="D1009" s="8" t="s">
        <v>806</v>
      </c>
      <c r="E1009" s="8" t="s">
        <v>802</v>
      </c>
      <c r="F1009" s="9" t="s">
        <v>68</v>
      </c>
      <c r="G1009" s="10">
        <v>124</v>
      </c>
      <c r="H1009" s="10" t="s">
        <v>165</v>
      </c>
      <c r="I1009" s="10" t="s">
        <v>165</v>
      </c>
      <c r="J1009" s="10" t="s">
        <v>165</v>
      </c>
      <c r="K1009" s="10" t="s">
        <v>165</v>
      </c>
    </row>
    <row r="1010" spans="1:11" ht="63" x14ac:dyDescent="0.25">
      <c r="A1010" s="57"/>
      <c r="B1010" s="76"/>
      <c r="C1010" s="57"/>
      <c r="D1010" s="8" t="s">
        <v>807</v>
      </c>
      <c r="E1010" s="20" t="s">
        <v>609</v>
      </c>
      <c r="F1010" s="9" t="s">
        <v>109</v>
      </c>
      <c r="G1010" s="1">
        <v>898.87</v>
      </c>
      <c r="H1010" s="1">
        <v>0</v>
      </c>
      <c r="I1010" s="1">
        <v>0</v>
      </c>
      <c r="J1010" s="1">
        <v>0</v>
      </c>
      <c r="K1010" s="1">
        <v>0</v>
      </c>
    </row>
    <row r="1011" spans="1:11" ht="67.5" customHeight="1" x14ac:dyDescent="0.25">
      <c r="A1011" s="55" t="s">
        <v>947</v>
      </c>
      <c r="B1011" s="76"/>
      <c r="C1011" s="55" t="s">
        <v>811</v>
      </c>
      <c r="D1011" s="8" t="s">
        <v>809</v>
      </c>
      <c r="E1011" s="8" t="s">
        <v>808</v>
      </c>
      <c r="F1011" s="9" t="s">
        <v>61</v>
      </c>
      <c r="G1011" s="10">
        <v>13</v>
      </c>
      <c r="H1011" s="10" t="s">
        <v>165</v>
      </c>
      <c r="I1011" s="10" t="s">
        <v>165</v>
      </c>
      <c r="J1011" s="10" t="s">
        <v>165</v>
      </c>
      <c r="K1011" s="10" t="s">
        <v>165</v>
      </c>
    </row>
    <row r="1012" spans="1:11" ht="63" x14ac:dyDescent="0.25">
      <c r="A1012" s="57"/>
      <c r="B1012" s="76"/>
      <c r="C1012" s="57"/>
      <c r="D1012" s="8" t="s">
        <v>810</v>
      </c>
      <c r="E1012" s="20" t="s">
        <v>609</v>
      </c>
      <c r="F1012" s="9" t="s">
        <v>109</v>
      </c>
      <c r="G1012" s="1">
        <v>50</v>
      </c>
      <c r="H1012" s="1">
        <v>0</v>
      </c>
      <c r="I1012" s="1">
        <v>0</v>
      </c>
      <c r="J1012" s="1">
        <v>0</v>
      </c>
      <c r="K1012" s="1">
        <v>0</v>
      </c>
    </row>
    <row r="1013" spans="1:11" ht="17.25" customHeight="1" x14ac:dyDescent="0.25">
      <c r="A1013" s="55" t="s">
        <v>948</v>
      </c>
      <c r="B1013" s="76"/>
      <c r="C1013" s="55" t="s">
        <v>247</v>
      </c>
      <c r="D1013" s="64" t="s">
        <v>252</v>
      </c>
      <c r="E1013" s="49" t="s">
        <v>813</v>
      </c>
      <c r="F1013" s="51" t="s">
        <v>68</v>
      </c>
      <c r="G1013" s="10">
        <v>1100</v>
      </c>
      <c r="H1013" s="10" t="s">
        <v>165</v>
      </c>
      <c r="I1013" s="10" t="s">
        <v>165</v>
      </c>
      <c r="J1013" s="10" t="s">
        <v>165</v>
      </c>
      <c r="K1013" s="10" t="s">
        <v>165</v>
      </c>
    </row>
    <row r="1014" spans="1:11" ht="16.5" customHeight="1" x14ac:dyDescent="0.25">
      <c r="A1014" s="56"/>
      <c r="B1014" s="76"/>
      <c r="C1014" s="56"/>
      <c r="D1014" s="65"/>
      <c r="E1014" s="49" t="s">
        <v>812</v>
      </c>
      <c r="F1014" s="51" t="s">
        <v>22</v>
      </c>
      <c r="G1014" s="10">
        <v>130000</v>
      </c>
      <c r="H1014" s="10">
        <v>130000</v>
      </c>
      <c r="I1014" s="10">
        <v>130000</v>
      </c>
      <c r="J1014" s="10">
        <v>130000</v>
      </c>
      <c r="K1014" s="10">
        <v>130000</v>
      </c>
    </row>
    <row r="1015" spans="1:11" ht="63" x14ac:dyDescent="0.25">
      <c r="A1015" s="57"/>
      <c r="B1015" s="76"/>
      <c r="C1015" s="57"/>
      <c r="D1015" s="8" t="s">
        <v>807</v>
      </c>
      <c r="E1015" s="49" t="s">
        <v>609</v>
      </c>
      <c r="F1015" s="51" t="s">
        <v>109</v>
      </c>
      <c r="G1015" s="1">
        <v>1640.6</v>
      </c>
      <c r="H1015" s="1">
        <v>1377.37</v>
      </c>
      <c r="I1015" s="1">
        <v>1377.37</v>
      </c>
      <c r="J1015" s="1">
        <v>1377.37</v>
      </c>
      <c r="K1015" s="1">
        <v>1377.37</v>
      </c>
    </row>
    <row r="1016" spans="1:11" ht="34.5" customHeight="1" x14ac:dyDescent="0.25">
      <c r="A1016" s="55" t="s">
        <v>949</v>
      </c>
      <c r="B1016" s="76"/>
      <c r="C1016" s="55" t="s">
        <v>814</v>
      </c>
      <c r="D1016" s="64" t="s">
        <v>271</v>
      </c>
      <c r="E1016" s="49" t="s">
        <v>246</v>
      </c>
      <c r="F1016" s="51" t="s">
        <v>22</v>
      </c>
      <c r="G1016" s="10">
        <f>15+2</f>
        <v>17</v>
      </c>
      <c r="H1016" s="10">
        <v>13</v>
      </c>
      <c r="I1016" s="10">
        <v>13</v>
      </c>
      <c r="J1016" s="10">
        <v>13</v>
      </c>
      <c r="K1016" s="10">
        <v>13</v>
      </c>
    </row>
    <row r="1017" spans="1:11" ht="36.75" customHeight="1" x14ac:dyDescent="0.25">
      <c r="A1017" s="56"/>
      <c r="B1017" s="76"/>
      <c r="C1017" s="56"/>
      <c r="D1017" s="71"/>
      <c r="E1017" s="52" t="s">
        <v>246</v>
      </c>
      <c r="F1017" s="26" t="s">
        <v>22</v>
      </c>
      <c r="G1017" s="10" t="s">
        <v>165</v>
      </c>
      <c r="H1017" s="10">
        <v>8</v>
      </c>
      <c r="I1017" s="10">
        <v>8</v>
      </c>
      <c r="J1017" s="10">
        <v>8</v>
      </c>
      <c r="K1017" s="10">
        <v>8</v>
      </c>
    </row>
    <row r="1018" spans="1:11" ht="17.25" customHeight="1" x14ac:dyDescent="0.25">
      <c r="A1018" s="56"/>
      <c r="B1018" s="76"/>
      <c r="C1018" s="56"/>
      <c r="D1018" s="65"/>
      <c r="E1018" s="8" t="s">
        <v>370</v>
      </c>
      <c r="F1018" s="26" t="s">
        <v>22</v>
      </c>
      <c r="G1018" s="10" t="s">
        <v>165</v>
      </c>
      <c r="H1018" s="10" t="s">
        <v>1550</v>
      </c>
      <c r="I1018" s="10" t="s">
        <v>1550</v>
      </c>
      <c r="J1018" s="10" t="s">
        <v>1550</v>
      </c>
      <c r="K1018" s="10" t="s">
        <v>1550</v>
      </c>
    </row>
    <row r="1019" spans="1:11" ht="63" customHeight="1" x14ac:dyDescent="0.25">
      <c r="A1019" s="56"/>
      <c r="B1019" s="76"/>
      <c r="C1019" s="56"/>
      <c r="D1019" s="8" t="s">
        <v>815</v>
      </c>
      <c r="E1019" s="64" t="s">
        <v>609</v>
      </c>
      <c r="F1019" s="55" t="s">
        <v>109</v>
      </c>
      <c r="G1019" s="1">
        <v>36954.699999999997</v>
      </c>
      <c r="H1019" s="1">
        <v>2322.585</v>
      </c>
      <c r="I1019" s="1">
        <v>2198.2800000000002</v>
      </c>
      <c r="J1019" s="1">
        <v>1723.5400000000002</v>
      </c>
      <c r="K1019" s="1">
        <v>1701.62</v>
      </c>
    </row>
    <row r="1020" spans="1:11" ht="26.25" customHeight="1" x14ac:dyDescent="0.25">
      <c r="A1020" s="57"/>
      <c r="B1020" s="76"/>
      <c r="C1020" s="57"/>
      <c r="D1020" s="8" t="s">
        <v>816</v>
      </c>
      <c r="E1020" s="65"/>
      <c r="F1020" s="57"/>
      <c r="G1020" s="1">
        <v>3828.1</v>
      </c>
      <c r="H1020" s="1">
        <f>58.72+95.42</f>
        <v>154.13999999999999</v>
      </c>
      <c r="I1020" s="1">
        <f>48.96+79.56</f>
        <v>128.52000000000001</v>
      </c>
      <c r="J1020" s="1">
        <f>39.36+63.96</f>
        <v>103.32</v>
      </c>
      <c r="K1020" s="1">
        <f>35.84+58.24</f>
        <v>94.080000000000013</v>
      </c>
    </row>
    <row r="1021" spans="1:11" ht="23.25" customHeight="1" x14ac:dyDescent="0.25">
      <c r="A1021" s="55" t="s">
        <v>950</v>
      </c>
      <c r="B1021" s="76"/>
      <c r="C1021" s="55" t="s">
        <v>24</v>
      </c>
      <c r="D1021" s="8" t="s">
        <v>457</v>
      </c>
      <c r="E1021" s="8" t="s">
        <v>817</v>
      </c>
      <c r="F1021" s="9" t="s">
        <v>22</v>
      </c>
      <c r="G1021" s="10">
        <v>29</v>
      </c>
      <c r="H1021" s="10" t="s">
        <v>165</v>
      </c>
      <c r="I1021" s="10" t="s">
        <v>165</v>
      </c>
      <c r="J1021" s="10" t="s">
        <v>165</v>
      </c>
      <c r="K1021" s="10" t="s">
        <v>165</v>
      </c>
    </row>
    <row r="1022" spans="1:11" ht="63.75" customHeight="1" x14ac:dyDescent="0.25">
      <c r="A1022" s="56"/>
      <c r="B1022" s="76"/>
      <c r="C1022" s="56"/>
      <c r="D1022" s="8" t="s">
        <v>1553</v>
      </c>
      <c r="E1022" s="8" t="s">
        <v>1559</v>
      </c>
      <c r="F1022" s="55" t="s">
        <v>22</v>
      </c>
      <c r="G1022" s="10" t="s">
        <v>165</v>
      </c>
      <c r="H1022" s="11">
        <v>246</v>
      </c>
      <c r="I1022" s="11">
        <v>246</v>
      </c>
      <c r="J1022" s="11">
        <v>246</v>
      </c>
      <c r="K1022" s="11">
        <v>246</v>
      </c>
    </row>
    <row r="1023" spans="1:11" ht="68.25" customHeight="1" x14ac:dyDescent="0.25">
      <c r="A1023" s="56"/>
      <c r="B1023" s="76"/>
      <c r="C1023" s="56"/>
      <c r="D1023" s="8" t="s">
        <v>1554</v>
      </c>
      <c r="E1023" s="8" t="s">
        <v>1560</v>
      </c>
      <c r="F1023" s="56"/>
      <c r="G1023" s="10" t="s">
        <v>165</v>
      </c>
      <c r="H1023" s="11">
        <v>246</v>
      </c>
      <c r="I1023" s="11">
        <v>246</v>
      </c>
      <c r="J1023" s="11">
        <v>246</v>
      </c>
      <c r="K1023" s="11">
        <v>246</v>
      </c>
    </row>
    <row r="1024" spans="1:11" ht="60.75" customHeight="1" x14ac:dyDescent="0.25">
      <c r="A1024" s="56"/>
      <c r="B1024" s="76"/>
      <c r="C1024" s="56"/>
      <c r="D1024" s="8" t="s">
        <v>1555</v>
      </c>
      <c r="E1024" s="8" t="s">
        <v>1561</v>
      </c>
      <c r="F1024" s="56"/>
      <c r="G1024" s="10" t="s">
        <v>165</v>
      </c>
      <c r="H1024" s="10">
        <v>6888</v>
      </c>
      <c r="I1024" s="10">
        <v>6888</v>
      </c>
      <c r="J1024" s="10">
        <v>6888</v>
      </c>
      <c r="K1024" s="10">
        <v>6888</v>
      </c>
    </row>
    <row r="1025" spans="1:11" ht="60.75" customHeight="1" x14ac:dyDescent="0.25">
      <c r="A1025" s="56"/>
      <c r="B1025" s="76"/>
      <c r="C1025" s="56"/>
      <c r="D1025" s="8" t="s">
        <v>1556</v>
      </c>
      <c r="E1025" s="8" t="s">
        <v>1562</v>
      </c>
      <c r="F1025" s="56"/>
      <c r="G1025" s="10" t="s">
        <v>165</v>
      </c>
      <c r="H1025" s="10">
        <v>6888</v>
      </c>
      <c r="I1025" s="10">
        <v>6888</v>
      </c>
      <c r="J1025" s="10">
        <v>6888</v>
      </c>
      <c r="K1025" s="10">
        <v>6888</v>
      </c>
    </row>
    <row r="1026" spans="1:11" ht="160.5" customHeight="1" x14ac:dyDescent="0.25">
      <c r="A1026" s="56"/>
      <c r="B1026" s="76"/>
      <c r="C1026" s="56"/>
      <c r="D1026" s="8" t="s">
        <v>1557</v>
      </c>
      <c r="E1026" s="8" t="s">
        <v>1563</v>
      </c>
      <c r="F1026" s="56"/>
      <c r="G1026" s="10" t="s">
        <v>165</v>
      </c>
      <c r="H1026" s="11">
        <v>11</v>
      </c>
      <c r="I1026" s="11">
        <v>11</v>
      </c>
      <c r="J1026" s="11">
        <v>11</v>
      </c>
      <c r="K1026" s="11">
        <v>11</v>
      </c>
    </row>
    <row r="1027" spans="1:11" ht="160.5" customHeight="1" x14ac:dyDescent="0.25">
      <c r="A1027" s="56"/>
      <c r="B1027" s="76"/>
      <c r="C1027" s="56"/>
      <c r="D1027" s="8" t="s">
        <v>1558</v>
      </c>
      <c r="E1027" s="8" t="s">
        <v>1564</v>
      </c>
      <c r="F1027" s="57"/>
      <c r="G1027" s="10" t="s">
        <v>165</v>
      </c>
      <c r="H1027" s="11">
        <v>11</v>
      </c>
      <c r="I1027" s="11">
        <v>11</v>
      </c>
      <c r="J1027" s="11">
        <v>11</v>
      </c>
      <c r="K1027" s="11">
        <v>11</v>
      </c>
    </row>
    <row r="1028" spans="1:11" ht="63" x14ac:dyDescent="0.25">
      <c r="A1028" s="57"/>
      <c r="B1028" s="76"/>
      <c r="C1028" s="57"/>
      <c r="D1028" s="8" t="s">
        <v>818</v>
      </c>
      <c r="E1028" s="20" t="s">
        <v>609</v>
      </c>
      <c r="F1028" s="9" t="s">
        <v>109</v>
      </c>
      <c r="G1028" s="1">
        <v>12164</v>
      </c>
      <c r="H1028" s="1">
        <f>547.00193+514.14+14395.95+14395.92+22.99+22.99</f>
        <v>29898.991930000004</v>
      </c>
      <c r="I1028" s="1">
        <f>511.75+484.62+13569.36+13569.36+21.67+21.67</f>
        <v>28178.43</v>
      </c>
      <c r="J1028" s="1">
        <f>389.6+364.08+10194.24+10194.24+16.28+16.28</f>
        <v>21174.719999999998</v>
      </c>
      <c r="K1028" s="1">
        <f>459.35+361.62+10125.36+10125.36+16.17+16.17</f>
        <v>21104.03</v>
      </c>
    </row>
    <row r="1029" spans="1:11" ht="24.75" customHeight="1" x14ac:dyDescent="0.25">
      <c r="A1029" s="55" t="s">
        <v>951</v>
      </c>
      <c r="B1029" s="76"/>
      <c r="C1029" s="55" t="s">
        <v>25</v>
      </c>
      <c r="D1029" s="8" t="s">
        <v>35</v>
      </c>
      <c r="E1029" s="8" t="s">
        <v>817</v>
      </c>
      <c r="F1029" s="9" t="s">
        <v>22</v>
      </c>
      <c r="G1029" s="10">
        <v>29</v>
      </c>
      <c r="H1029" s="10" t="s">
        <v>165</v>
      </c>
      <c r="I1029" s="10" t="s">
        <v>165</v>
      </c>
      <c r="J1029" s="10" t="s">
        <v>165</v>
      </c>
      <c r="K1029" s="10" t="s">
        <v>165</v>
      </c>
    </row>
    <row r="1030" spans="1:11" ht="63" x14ac:dyDescent="0.25">
      <c r="A1030" s="57"/>
      <c r="B1030" s="76"/>
      <c r="C1030" s="57"/>
      <c r="D1030" s="8" t="s">
        <v>818</v>
      </c>
      <c r="E1030" s="20" t="s">
        <v>609</v>
      </c>
      <c r="F1030" s="9" t="s">
        <v>109</v>
      </c>
      <c r="G1030" s="1">
        <v>12164</v>
      </c>
      <c r="H1030" s="1">
        <v>0</v>
      </c>
      <c r="I1030" s="1">
        <v>0</v>
      </c>
      <c r="J1030" s="1">
        <v>0</v>
      </c>
      <c r="K1030" s="1">
        <v>0</v>
      </c>
    </row>
    <row r="1031" spans="1:11" ht="36.75" customHeight="1" x14ac:dyDescent="0.25">
      <c r="A1031" s="55" t="s">
        <v>952</v>
      </c>
      <c r="B1031" s="76"/>
      <c r="C1031" s="55" t="s">
        <v>819</v>
      </c>
      <c r="D1031" s="8" t="s">
        <v>44</v>
      </c>
      <c r="E1031" s="8" t="s">
        <v>817</v>
      </c>
      <c r="F1031" s="9" t="s">
        <v>820</v>
      </c>
      <c r="G1031" s="10">
        <v>10728</v>
      </c>
      <c r="H1031" s="10" t="s">
        <v>165</v>
      </c>
      <c r="I1031" s="10" t="s">
        <v>165</v>
      </c>
      <c r="J1031" s="10" t="s">
        <v>165</v>
      </c>
      <c r="K1031" s="10" t="s">
        <v>165</v>
      </c>
    </row>
    <row r="1032" spans="1:11" ht="36.75" customHeight="1" x14ac:dyDescent="0.25">
      <c r="A1032" s="56"/>
      <c r="B1032" s="76"/>
      <c r="C1032" s="56"/>
      <c r="D1032" s="8" t="s">
        <v>1555</v>
      </c>
      <c r="E1032" s="8" t="s">
        <v>1565</v>
      </c>
      <c r="F1032" s="9" t="s">
        <v>1566</v>
      </c>
      <c r="G1032" s="10" t="s">
        <v>165</v>
      </c>
      <c r="H1032" s="11">
        <v>11</v>
      </c>
      <c r="I1032" s="11">
        <v>11</v>
      </c>
      <c r="J1032" s="11">
        <v>11</v>
      </c>
      <c r="K1032" s="11">
        <v>11</v>
      </c>
    </row>
    <row r="1033" spans="1:11" ht="63" x14ac:dyDescent="0.25">
      <c r="A1033" s="57"/>
      <c r="B1033" s="76"/>
      <c r="C1033" s="57"/>
      <c r="D1033" s="8" t="s">
        <v>818</v>
      </c>
      <c r="E1033" s="20" t="s">
        <v>609</v>
      </c>
      <c r="F1033" s="9" t="s">
        <v>109</v>
      </c>
      <c r="G1033" s="1">
        <v>2566.4</v>
      </c>
      <c r="H1033" s="1">
        <v>22.99</v>
      </c>
      <c r="I1033" s="1">
        <v>21.669999999999998</v>
      </c>
      <c r="J1033" s="1">
        <v>16.28</v>
      </c>
      <c r="K1033" s="1">
        <v>16.169999999999998</v>
      </c>
    </row>
    <row r="1034" spans="1:11" ht="24.75" customHeight="1" x14ac:dyDescent="0.25">
      <c r="A1034" s="55" t="s">
        <v>953</v>
      </c>
      <c r="B1034" s="76"/>
      <c r="C1034" s="55" t="s">
        <v>821</v>
      </c>
      <c r="D1034" s="8" t="s">
        <v>74</v>
      </c>
      <c r="E1034" s="8" t="s">
        <v>787</v>
      </c>
      <c r="F1034" s="9" t="s">
        <v>68</v>
      </c>
      <c r="G1034" s="10">
        <v>821</v>
      </c>
      <c r="H1034" s="10" t="s">
        <v>165</v>
      </c>
      <c r="I1034" s="10" t="s">
        <v>165</v>
      </c>
      <c r="J1034" s="10" t="s">
        <v>165</v>
      </c>
      <c r="K1034" s="10" t="s">
        <v>165</v>
      </c>
    </row>
    <row r="1035" spans="1:11" ht="63" x14ac:dyDescent="0.25">
      <c r="A1035" s="57"/>
      <c r="B1035" s="76"/>
      <c r="C1035" s="57"/>
      <c r="D1035" s="8" t="s">
        <v>822</v>
      </c>
      <c r="E1035" s="20" t="s">
        <v>609</v>
      </c>
      <c r="F1035" s="9" t="s">
        <v>109</v>
      </c>
      <c r="G1035" s="1">
        <v>8852</v>
      </c>
      <c r="H1035" s="1">
        <v>0</v>
      </c>
      <c r="I1035" s="1">
        <v>0</v>
      </c>
      <c r="J1035" s="1">
        <v>0</v>
      </c>
      <c r="K1035" s="1">
        <v>0</v>
      </c>
    </row>
    <row r="1036" spans="1:11" ht="25.5" customHeight="1" x14ac:dyDescent="0.25">
      <c r="A1036" s="55" t="s">
        <v>954</v>
      </c>
      <c r="B1036" s="76"/>
      <c r="C1036" s="55" t="s">
        <v>87</v>
      </c>
      <c r="D1036" s="8" t="s">
        <v>88</v>
      </c>
      <c r="E1036" s="8" t="s">
        <v>787</v>
      </c>
      <c r="F1036" s="9" t="s">
        <v>68</v>
      </c>
      <c r="G1036" s="10">
        <v>1565</v>
      </c>
      <c r="H1036" s="10" t="s">
        <v>165</v>
      </c>
      <c r="I1036" s="10" t="s">
        <v>165</v>
      </c>
      <c r="J1036" s="10" t="s">
        <v>165</v>
      </c>
      <c r="K1036" s="10" t="s">
        <v>165</v>
      </c>
    </row>
    <row r="1037" spans="1:11" ht="63" x14ac:dyDescent="0.25">
      <c r="A1037" s="57"/>
      <c r="B1037" s="76"/>
      <c r="C1037" s="57"/>
      <c r="D1037" s="8" t="s">
        <v>822</v>
      </c>
      <c r="E1037" s="20" t="s">
        <v>609</v>
      </c>
      <c r="F1037" s="9" t="s">
        <v>109</v>
      </c>
      <c r="G1037" s="1">
        <v>9870.2999999999993</v>
      </c>
      <c r="H1037" s="1">
        <v>0</v>
      </c>
      <c r="I1037" s="1">
        <v>0</v>
      </c>
      <c r="J1037" s="1">
        <v>0</v>
      </c>
      <c r="K1037" s="1">
        <v>0</v>
      </c>
    </row>
    <row r="1038" spans="1:11" ht="47.25" customHeight="1" x14ac:dyDescent="0.25">
      <c r="A1038" s="69" t="s">
        <v>955</v>
      </c>
      <c r="B1038" s="76"/>
      <c r="C1038" s="55" t="s">
        <v>1497</v>
      </c>
      <c r="D1038" s="8" t="s">
        <v>1498</v>
      </c>
      <c r="E1038" s="8" t="s">
        <v>787</v>
      </c>
      <c r="F1038" s="9" t="s">
        <v>68</v>
      </c>
      <c r="G1038" s="1">
        <f>22+75</f>
        <v>97</v>
      </c>
      <c r="H1038" s="1" t="s">
        <v>165</v>
      </c>
      <c r="I1038" s="1" t="s">
        <v>165</v>
      </c>
      <c r="J1038" s="1" t="s">
        <v>165</v>
      </c>
      <c r="K1038" s="1" t="s">
        <v>165</v>
      </c>
    </row>
    <row r="1039" spans="1:11" ht="31.5" x14ac:dyDescent="0.25">
      <c r="A1039" s="69"/>
      <c r="B1039" s="76"/>
      <c r="C1039" s="56"/>
      <c r="D1039" s="8" t="s">
        <v>1499</v>
      </c>
      <c r="E1039" s="64" t="s">
        <v>787</v>
      </c>
      <c r="F1039" s="55" t="s">
        <v>68</v>
      </c>
      <c r="G1039" s="1" t="s">
        <v>165</v>
      </c>
      <c r="H1039" s="1">
        <v>18</v>
      </c>
      <c r="I1039" s="1">
        <v>18</v>
      </c>
      <c r="J1039" s="1">
        <v>18</v>
      </c>
      <c r="K1039" s="1">
        <v>18</v>
      </c>
    </row>
    <row r="1040" spans="1:11" ht="31.5" x14ac:dyDescent="0.25">
      <c r="A1040" s="69"/>
      <c r="B1040" s="76"/>
      <c r="C1040" s="56"/>
      <c r="D1040" s="8" t="s">
        <v>1500</v>
      </c>
      <c r="E1040" s="65"/>
      <c r="F1040" s="57"/>
      <c r="G1040" s="1" t="s">
        <v>165</v>
      </c>
      <c r="H1040" s="1">
        <v>75</v>
      </c>
      <c r="I1040" s="1">
        <v>75</v>
      </c>
      <c r="J1040" s="1">
        <v>75</v>
      </c>
      <c r="K1040" s="1">
        <v>75</v>
      </c>
    </row>
    <row r="1041" spans="1:11" ht="63" x14ac:dyDescent="0.25">
      <c r="A1041" s="69"/>
      <c r="B1041" s="76"/>
      <c r="C1041" s="57"/>
      <c r="D1041" s="8" t="s">
        <v>770</v>
      </c>
      <c r="E1041" s="20" t="s">
        <v>609</v>
      </c>
      <c r="F1041" s="9" t="s">
        <v>109</v>
      </c>
      <c r="G1041" s="1">
        <f>1147.5+3912</f>
        <v>5059.5</v>
      </c>
      <c r="H1041" s="1">
        <f>966.96+4029</f>
        <v>4995.96</v>
      </c>
      <c r="I1041" s="1">
        <f>823.32+3430.5</f>
        <v>4253.82</v>
      </c>
      <c r="J1041" s="1">
        <f>685.08+2854.5</f>
        <v>3539.58</v>
      </c>
      <c r="K1041" s="1">
        <f>669.96+2791.5</f>
        <v>3461.46</v>
      </c>
    </row>
    <row r="1042" spans="1:11" ht="63" customHeight="1" x14ac:dyDescent="0.25">
      <c r="A1042" s="55" t="s">
        <v>1575</v>
      </c>
      <c r="B1042" s="76"/>
      <c r="C1042" s="55" t="s">
        <v>1501</v>
      </c>
      <c r="D1042" s="8" t="s">
        <v>1502</v>
      </c>
      <c r="E1042" s="8" t="s">
        <v>787</v>
      </c>
      <c r="F1042" s="9" t="s">
        <v>68</v>
      </c>
      <c r="G1042" s="10">
        <f>126+95</f>
        <v>221</v>
      </c>
      <c r="H1042" s="1" t="s">
        <v>165</v>
      </c>
      <c r="I1042" s="1" t="s">
        <v>165</v>
      </c>
      <c r="J1042" s="1" t="s">
        <v>165</v>
      </c>
      <c r="K1042" s="1" t="s">
        <v>165</v>
      </c>
    </row>
    <row r="1043" spans="1:11" ht="31.5" x14ac:dyDescent="0.25">
      <c r="A1043" s="56"/>
      <c r="B1043" s="76"/>
      <c r="C1043" s="56"/>
      <c r="D1043" s="8" t="s">
        <v>1503</v>
      </c>
      <c r="E1043" s="64" t="s">
        <v>787</v>
      </c>
      <c r="F1043" s="55" t="s">
        <v>68</v>
      </c>
      <c r="G1043" s="1" t="s">
        <v>165</v>
      </c>
      <c r="H1043" s="10">
        <v>127</v>
      </c>
      <c r="I1043" s="10">
        <v>127</v>
      </c>
      <c r="J1043" s="10">
        <v>127</v>
      </c>
      <c r="K1043" s="10">
        <v>127</v>
      </c>
    </row>
    <row r="1044" spans="1:11" ht="31.5" x14ac:dyDescent="0.25">
      <c r="A1044" s="56"/>
      <c r="B1044" s="76"/>
      <c r="C1044" s="56"/>
      <c r="D1044" s="8" t="s">
        <v>1504</v>
      </c>
      <c r="E1044" s="71"/>
      <c r="F1044" s="56"/>
      <c r="G1044" s="1" t="s">
        <v>165</v>
      </c>
      <c r="H1044" s="10">
        <v>162</v>
      </c>
      <c r="I1044" s="10">
        <v>0</v>
      </c>
      <c r="J1044" s="10">
        <v>0</v>
      </c>
      <c r="K1044" s="10">
        <v>0</v>
      </c>
    </row>
    <row r="1045" spans="1:11" ht="48" customHeight="1" x14ac:dyDescent="0.25">
      <c r="A1045" s="57"/>
      <c r="B1045" s="76"/>
      <c r="C1045" s="56"/>
      <c r="D1045" s="8" t="s">
        <v>770</v>
      </c>
      <c r="E1045" s="23" t="s">
        <v>609</v>
      </c>
      <c r="F1045" s="24" t="s">
        <v>109</v>
      </c>
      <c r="G1045" s="1">
        <f>6572.16+4955.2</f>
        <v>11527.36</v>
      </c>
      <c r="H1045" s="1">
        <f>6822.44+8702.64</f>
        <v>15525.079999999998</v>
      </c>
      <c r="I1045" s="1">
        <v>5808.9800000000005</v>
      </c>
      <c r="J1045" s="1">
        <v>4833.62</v>
      </c>
      <c r="K1045" s="1">
        <v>4726.9399999999996</v>
      </c>
    </row>
    <row r="1046" spans="1:11" ht="31.5" x14ac:dyDescent="0.25">
      <c r="A1046" s="69" t="s">
        <v>1576</v>
      </c>
      <c r="B1046" s="76"/>
      <c r="C1046" s="69" t="s">
        <v>1570</v>
      </c>
      <c r="D1046" s="8" t="s">
        <v>1510</v>
      </c>
      <c r="E1046" s="64" t="s">
        <v>787</v>
      </c>
      <c r="F1046" s="55" t="s">
        <v>68</v>
      </c>
      <c r="G1046" s="1" t="s">
        <v>165</v>
      </c>
      <c r="H1046" s="10">
        <v>7</v>
      </c>
      <c r="I1046" s="10">
        <v>7</v>
      </c>
      <c r="J1046" s="10">
        <v>7</v>
      </c>
      <c r="K1046" s="10">
        <v>7</v>
      </c>
    </row>
    <row r="1047" spans="1:11" ht="31.5" x14ac:dyDescent="0.25">
      <c r="A1047" s="69"/>
      <c r="B1047" s="76"/>
      <c r="C1047" s="69"/>
      <c r="D1047" s="8" t="s">
        <v>1511</v>
      </c>
      <c r="E1047" s="65"/>
      <c r="F1047" s="57"/>
      <c r="G1047" s="1" t="s">
        <v>165</v>
      </c>
      <c r="H1047" s="10">
        <v>3</v>
      </c>
      <c r="I1047" s="10">
        <v>3</v>
      </c>
      <c r="J1047" s="10">
        <v>3</v>
      </c>
      <c r="K1047" s="10">
        <v>3</v>
      </c>
    </row>
    <row r="1048" spans="1:11" ht="63" x14ac:dyDescent="0.25">
      <c r="A1048" s="69"/>
      <c r="B1048" s="76"/>
      <c r="C1048" s="69"/>
      <c r="D1048" s="8" t="s">
        <v>1571</v>
      </c>
      <c r="E1048" s="23" t="s">
        <v>609</v>
      </c>
      <c r="F1048" s="24" t="s">
        <v>109</v>
      </c>
      <c r="G1048" s="1">
        <v>0</v>
      </c>
      <c r="H1048" s="1">
        <f>754.635+323.42</f>
        <v>1078.0550000000001</v>
      </c>
      <c r="I1048" s="1">
        <f>636.34+272.72</f>
        <v>909.06000000000006</v>
      </c>
      <c r="J1048" s="1">
        <f>492.114+210.91</f>
        <v>703.024</v>
      </c>
      <c r="K1048" s="1">
        <f>482.17+206.65</f>
        <v>688.82</v>
      </c>
    </row>
    <row r="1049" spans="1:11" ht="47.25" customHeight="1" x14ac:dyDescent="0.25">
      <c r="A1049" s="55" t="s">
        <v>1577</v>
      </c>
      <c r="B1049" s="76"/>
      <c r="C1049" s="55" t="s">
        <v>766</v>
      </c>
      <c r="D1049" s="8" t="s">
        <v>1505</v>
      </c>
      <c r="E1049" s="8" t="s">
        <v>787</v>
      </c>
      <c r="F1049" s="9" t="s">
        <v>68</v>
      </c>
      <c r="G1049" s="10">
        <f>10+6+50</f>
        <v>66</v>
      </c>
      <c r="H1049" s="1" t="s">
        <v>165</v>
      </c>
      <c r="I1049" s="1" t="s">
        <v>165</v>
      </c>
      <c r="J1049" s="1" t="s">
        <v>165</v>
      </c>
      <c r="K1049" s="1" t="s">
        <v>165</v>
      </c>
    </row>
    <row r="1050" spans="1:11" ht="31.5" x14ac:dyDescent="0.25">
      <c r="A1050" s="56"/>
      <c r="B1050" s="76"/>
      <c r="C1050" s="56"/>
      <c r="D1050" s="8" t="s">
        <v>1506</v>
      </c>
      <c r="E1050" s="64" t="s">
        <v>787</v>
      </c>
      <c r="F1050" s="55" t="s">
        <v>68</v>
      </c>
      <c r="G1050" s="1" t="s">
        <v>165</v>
      </c>
      <c r="H1050" s="10">
        <v>10</v>
      </c>
      <c r="I1050" s="10">
        <v>10</v>
      </c>
      <c r="J1050" s="10">
        <v>10</v>
      </c>
      <c r="K1050" s="10">
        <v>10</v>
      </c>
    </row>
    <row r="1051" spans="1:11" ht="31.5" x14ac:dyDescent="0.25">
      <c r="A1051" s="56"/>
      <c r="B1051" s="76"/>
      <c r="C1051" s="56"/>
      <c r="D1051" s="8" t="s">
        <v>1507</v>
      </c>
      <c r="E1051" s="71"/>
      <c r="F1051" s="56"/>
      <c r="G1051" s="1" t="s">
        <v>165</v>
      </c>
      <c r="H1051" s="10">
        <v>10</v>
      </c>
      <c r="I1051" s="10">
        <v>10</v>
      </c>
      <c r="J1051" s="10">
        <v>10</v>
      </c>
      <c r="K1051" s="10">
        <v>10</v>
      </c>
    </row>
    <row r="1052" spans="1:11" ht="31.5" x14ac:dyDescent="0.25">
      <c r="A1052" s="56"/>
      <c r="B1052" s="76"/>
      <c r="C1052" s="56"/>
      <c r="D1052" s="8" t="s">
        <v>1507</v>
      </c>
      <c r="E1052" s="65"/>
      <c r="F1052" s="57"/>
      <c r="G1052" s="1" t="s">
        <v>165</v>
      </c>
      <c r="H1052" s="10">
        <v>76</v>
      </c>
      <c r="I1052" s="10">
        <v>76</v>
      </c>
      <c r="J1052" s="10">
        <v>76</v>
      </c>
      <c r="K1052" s="10">
        <v>76</v>
      </c>
    </row>
    <row r="1053" spans="1:11" ht="63" x14ac:dyDescent="0.25">
      <c r="A1053" s="57"/>
      <c r="B1053" s="76"/>
      <c r="C1053" s="57"/>
      <c r="D1053" s="8" t="s">
        <v>770</v>
      </c>
      <c r="E1053" s="20" t="s">
        <v>609</v>
      </c>
      <c r="F1053" s="9" t="s">
        <v>109</v>
      </c>
      <c r="G1053" s="1">
        <f>521.6+312.96+2608</f>
        <v>3442.56</v>
      </c>
      <c r="H1053" s="1">
        <f>537.2+537.2+4082.72</f>
        <v>5157.12</v>
      </c>
      <c r="I1053" s="1">
        <f>457.4+457.4+3476.24</f>
        <v>4391.04</v>
      </c>
      <c r="J1053" s="1">
        <f>380.6+380.6+2892.56</f>
        <v>3653.76</v>
      </c>
      <c r="K1053" s="1">
        <f>372.2+372.2+2828.72</f>
        <v>3573.12</v>
      </c>
    </row>
    <row r="1054" spans="1:11" ht="39" customHeight="1" x14ac:dyDescent="0.25">
      <c r="A1054" s="69" t="s">
        <v>1578</v>
      </c>
      <c r="B1054" s="76"/>
      <c r="C1054" s="55" t="s">
        <v>1508</v>
      </c>
      <c r="D1054" s="8" t="s">
        <v>1509</v>
      </c>
      <c r="E1054" s="8" t="s">
        <v>787</v>
      </c>
      <c r="F1054" s="9" t="s">
        <v>68</v>
      </c>
      <c r="G1054" s="1" t="s">
        <v>165</v>
      </c>
      <c r="H1054" s="10">
        <v>17</v>
      </c>
      <c r="I1054" s="10">
        <v>17</v>
      </c>
      <c r="J1054" s="10">
        <v>17</v>
      </c>
      <c r="K1054" s="10">
        <v>17</v>
      </c>
    </row>
    <row r="1055" spans="1:11" ht="63" x14ac:dyDescent="0.25">
      <c r="A1055" s="69"/>
      <c r="B1055" s="76"/>
      <c r="C1055" s="57"/>
      <c r="D1055" s="8" t="s">
        <v>770</v>
      </c>
      <c r="E1055" s="20" t="s">
        <v>609</v>
      </c>
      <c r="F1055" s="9" t="s">
        <v>109</v>
      </c>
      <c r="G1055" s="1">
        <v>0</v>
      </c>
      <c r="H1055" s="1">
        <v>915.14</v>
      </c>
      <c r="I1055" s="1">
        <v>777.58</v>
      </c>
      <c r="J1055" s="1">
        <v>647.02</v>
      </c>
      <c r="K1055" s="1">
        <v>632.74</v>
      </c>
    </row>
    <row r="1056" spans="1:11" ht="31.5" x14ac:dyDescent="0.25">
      <c r="A1056" s="69" t="s">
        <v>1579</v>
      </c>
      <c r="B1056" s="76"/>
      <c r="C1056" s="55" t="s">
        <v>1512</v>
      </c>
      <c r="D1056" s="8" t="s">
        <v>1513</v>
      </c>
      <c r="E1056" s="8" t="s">
        <v>89</v>
      </c>
      <c r="F1056" s="9" t="s">
        <v>22</v>
      </c>
      <c r="G1056" s="1" t="s">
        <v>165</v>
      </c>
      <c r="H1056" s="10">
        <f>45+54+22</f>
        <v>121</v>
      </c>
      <c r="I1056" s="10">
        <f>55+55+45</f>
        <v>155</v>
      </c>
      <c r="J1056" s="10">
        <f t="shared" ref="J1056:K1056" si="28">55+55+45</f>
        <v>155</v>
      </c>
      <c r="K1056" s="10">
        <f t="shared" si="28"/>
        <v>155</v>
      </c>
    </row>
    <row r="1057" spans="1:11" ht="31.5" x14ac:dyDescent="0.25">
      <c r="A1057" s="69"/>
      <c r="B1057" s="76"/>
      <c r="C1057" s="56"/>
      <c r="D1057" s="8" t="s">
        <v>230</v>
      </c>
      <c r="E1057" s="8" t="s">
        <v>89</v>
      </c>
      <c r="F1057" s="9" t="s">
        <v>22</v>
      </c>
      <c r="G1057" s="1" t="s">
        <v>165</v>
      </c>
      <c r="H1057" s="10">
        <v>22</v>
      </c>
      <c r="I1057" s="10">
        <v>22</v>
      </c>
      <c r="J1057" s="10">
        <v>22</v>
      </c>
      <c r="K1057" s="10">
        <v>22</v>
      </c>
    </row>
    <row r="1058" spans="1:11" ht="63" customHeight="1" x14ac:dyDescent="0.25">
      <c r="A1058" s="69"/>
      <c r="B1058" s="76"/>
      <c r="C1058" s="56"/>
      <c r="D1058" s="8" t="s">
        <v>1531</v>
      </c>
      <c r="E1058" s="64" t="s">
        <v>15</v>
      </c>
      <c r="F1058" s="55" t="s">
        <v>7</v>
      </c>
      <c r="G1058" s="1">
        <v>0</v>
      </c>
      <c r="H1058" s="1">
        <v>2440.35</v>
      </c>
      <c r="I1058" s="1">
        <v>2577.85</v>
      </c>
      <c r="J1058" s="1">
        <v>2001.45</v>
      </c>
      <c r="K1058" s="1">
        <v>1975.6000000000001</v>
      </c>
    </row>
    <row r="1059" spans="1:11" ht="21" customHeight="1" x14ac:dyDescent="0.25">
      <c r="A1059" s="69"/>
      <c r="B1059" s="76"/>
      <c r="C1059" s="56"/>
      <c r="D1059" s="8" t="s">
        <v>816</v>
      </c>
      <c r="E1059" s="71"/>
      <c r="F1059" s="56"/>
      <c r="G1059" s="1">
        <v>0</v>
      </c>
      <c r="H1059" s="1">
        <v>396.36</v>
      </c>
      <c r="I1059" s="1">
        <v>347.85</v>
      </c>
      <c r="J1059" s="1">
        <v>311.07000000000005</v>
      </c>
      <c r="K1059" s="1">
        <v>270.69000000000005</v>
      </c>
    </row>
    <row r="1060" spans="1:11" ht="21" customHeight="1" x14ac:dyDescent="0.25">
      <c r="A1060" s="69"/>
      <c r="B1060" s="76"/>
      <c r="C1060" s="56"/>
      <c r="D1060" s="8" t="s">
        <v>804</v>
      </c>
      <c r="E1060" s="71"/>
      <c r="F1060" s="56"/>
      <c r="G1060" s="1">
        <v>0</v>
      </c>
      <c r="H1060" s="1">
        <v>4099.53</v>
      </c>
      <c r="I1060" s="1">
        <v>5310</v>
      </c>
      <c r="J1060" s="1">
        <v>4111.38</v>
      </c>
      <c r="K1060" s="1">
        <v>4026.6400000000003</v>
      </c>
    </row>
    <row r="1061" spans="1:11" ht="15.75" x14ac:dyDescent="0.25">
      <c r="A1061" s="69"/>
      <c r="B1061" s="76"/>
      <c r="C1061" s="57"/>
      <c r="D1061" s="8" t="s">
        <v>777</v>
      </c>
      <c r="E1061" s="65"/>
      <c r="F1061" s="57"/>
      <c r="G1061" s="1">
        <v>0</v>
      </c>
      <c r="H1061" s="1">
        <v>96.800000000000011</v>
      </c>
      <c r="I1061" s="1">
        <v>96.14</v>
      </c>
      <c r="J1061" s="1">
        <v>75.02000000000001</v>
      </c>
      <c r="K1061" s="1">
        <v>75.02000000000001</v>
      </c>
    </row>
    <row r="1062" spans="1:11" ht="31.5" x14ac:dyDescent="0.25">
      <c r="A1062" s="69" t="s">
        <v>1580</v>
      </c>
      <c r="B1062" s="76"/>
      <c r="C1062" s="55" t="s">
        <v>1527</v>
      </c>
      <c r="D1062" s="8" t="s">
        <v>1529</v>
      </c>
      <c r="E1062" s="20" t="s">
        <v>1528</v>
      </c>
      <c r="F1062" s="9" t="s">
        <v>68</v>
      </c>
      <c r="G1062" s="1" t="s">
        <v>165</v>
      </c>
      <c r="H1062" s="10">
        <v>120</v>
      </c>
      <c r="I1062" s="10">
        <v>120</v>
      </c>
      <c r="J1062" s="10">
        <v>120</v>
      </c>
      <c r="K1062" s="10">
        <v>120</v>
      </c>
    </row>
    <row r="1063" spans="1:11" ht="63" x14ac:dyDescent="0.25">
      <c r="A1063" s="69"/>
      <c r="B1063" s="76"/>
      <c r="C1063" s="57"/>
      <c r="D1063" s="8" t="s">
        <v>790</v>
      </c>
      <c r="E1063" s="20" t="s">
        <v>15</v>
      </c>
      <c r="F1063" s="9" t="s">
        <v>7</v>
      </c>
      <c r="G1063" s="1">
        <v>0</v>
      </c>
      <c r="H1063" s="1">
        <v>528</v>
      </c>
      <c r="I1063" s="1">
        <v>524.4</v>
      </c>
      <c r="J1063" s="1">
        <v>409.20000000000005</v>
      </c>
      <c r="K1063" s="1">
        <v>409.20000000000005</v>
      </c>
    </row>
    <row r="1064" spans="1:11" ht="31.5" customHeight="1" x14ac:dyDescent="0.25">
      <c r="A1064" s="69" t="s">
        <v>1581</v>
      </c>
      <c r="B1064" s="76"/>
      <c r="C1064" s="55" t="s">
        <v>1533</v>
      </c>
      <c r="D1064" s="8" t="s">
        <v>1540</v>
      </c>
      <c r="E1064" s="8" t="s">
        <v>89</v>
      </c>
      <c r="F1064" s="9" t="s">
        <v>22</v>
      </c>
      <c r="G1064" s="1" t="s">
        <v>165</v>
      </c>
      <c r="H1064" s="1">
        <v>8</v>
      </c>
      <c r="I1064" s="1">
        <v>9</v>
      </c>
      <c r="J1064" s="1">
        <v>8</v>
      </c>
      <c r="K1064" s="1">
        <v>8</v>
      </c>
    </row>
    <row r="1065" spans="1:11" ht="41.25" customHeight="1" x14ac:dyDescent="0.25">
      <c r="A1065" s="69"/>
      <c r="B1065" s="76"/>
      <c r="C1065" s="56"/>
      <c r="D1065" s="8" t="s">
        <v>1513</v>
      </c>
      <c r="E1065" s="20" t="s">
        <v>89</v>
      </c>
      <c r="F1065" s="9" t="s">
        <v>22</v>
      </c>
      <c r="G1065" s="1" t="s">
        <v>165</v>
      </c>
      <c r="H1065" s="10">
        <f>5+4</f>
        <v>9</v>
      </c>
      <c r="I1065" s="10">
        <f>5+3</f>
        <v>8</v>
      </c>
      <c r="J1065" s="10">
        <f t="shared" ref="J1065:K1065" si="29">5+3</f>
        <v>8</v>
      </c>
      <c r="K1065" s="10">
        <f t="shared" si="29"/>
        <v>8</v>
      </c>
    </row>
    <row r="1066" spans="1:11" ht="63" customHeight="1" x14ac:dyDescent="0.25">
      <c r="A1066" s="69"/>
      <c r="B1066" s="76"/>
      <c r="C1066" s="56"/>
      <c r="D1066" s="8" t="s">
        <v>786</v>
      </c>
      <c r="E1066" s="64" t="s">
        <v>15</v>
      </c>
      <c r="F1066" s="55" t="s">
        <v>7</v>
      </c>
      <c r="G1066" s="1">
        <v>0</v>
      </c>
      <c r="H1066" s="1">
        <v>22</v>
      </c>
      <c r="I1066" s="1">
        <v>21.85</v>
      </c>
      <c r="J1066" s="1">
        <v>17.05</v>
      </c>
      <c r="K1066" s="1">
        <v>17.05</v>
      </c>
    </row>
    <row r="1067" spans="1:11" ht="15.75" x14ac:dyDescent="0.25">
      <c r="A1067" s="69"/>
      <c r="B1067" s="76"/>
      <c r="C1067" s="56"/>
      <c r="D1067" s="8" t="s">
        <v>816</v>
      </c>
      <c r="E1067" s="71"/>
      <c r="F1067" s="56"/>
      <c r="G1067" s="1">
        <v>0</v>
      </c>
      <c r="H1067" s="1">
        <v>58.72</v>
      </c>
      <c r="I1067" s="1">
        <v>55.08</v>
      </c>
      <c r="J1067" s="1">
        <v>39.36</v>
      </c>
      <c r="K1067" s="1">
        <v>35.840000000000003</v>
      </c>
    </row>
    <row r="1068" spans="1:11" ht="15.75" x14ac:dyDescent="0.25">
      <c r="A1068" s="69"/>
      <c r="B1068" s="76"/>
      <c r="C1068" s="57"/>
      <c r="D1068" s="8" t="s">
        <v>804</v>
      </c>
      <c r="E1068" s="65"/>
      <c r="F1068" s="57"/>
      <c r="G1068" s="1">
        <v>0</v>
      </c>
      <c r="H1068" s="1">
        <v>745.6</v>
      </c>
      <c r="I1068" s="1">
        <v>354</v>
      </c>
      <c r="J1068" s="1">
        <v>274.08</v>
      </c>
      <c r="K1068" s="1">
        <v>268.44</v>
      </c>
    </row>
    <row r="1069" spans="1:11" ht="50.25" customHeight="1" x14ac:dyDescent="0.25">
      <c r="A1069" s="55" t="s">
        <v>1582</v>
      </c>
      <c r="B1069" s="76"/>
      <c r="C1069" s="55" t="s">
        <v>1534</v>
      </c>
      <c r="D1069" s="8" t="s">
        <v>1532</v>
      </c>
      <c r="E1069" s="20" t="s">
        <v>89</v>
      </c>
      <c r="F1069" s="9" t="s">
        <v>22</v>
      </c>
      <c r="G1069" s="1" t="s">
        <v>165</v>
      </c>
      <c r="H1069" s="10">
        <v>4</v>
      </c>
      <c r="I1069" s="10">
        <v>4</v>
      </c>
      <c r="J1069" s="10">
        <v>4</v>
      </c>
      <c r="K1069" s="10">
        <v>4</v>
      </c>
    </row>
    <row r="1070" spans="1:11" ht="63" x14ac:dyDescent="0.25">
      <c r="A1070" s="57"/>
      <c r="B1070" s="76"/>
      <c r="C1070" s="57"/>
      <c r="D1070" s="8" t="s">
        <v>790</v>
      </c>
      <c r="E1070" s="20" t="s">
        <v>15</v>
      </c>
      <c r="F1070" s="9" t="s">
        <v>6</v>
      </c>
      <c r="G1070" s="1">
        <v>0</v>
      </c>
      <c r="H1070" s="1">
        <v>17.600000000000001</v>
      </c>
      <c r="I1070" s="1">
        <v>17.48</v>
      </c>
      <c r="J1070" s="1">
        <v>45.81</v>
      </c>
      <c r="K1070" s="1">
        <v>13.64</v>
      </c>
    </row>
    <row r="1071" spans="1:11" ht="31.5" x14ac:dyDescent="0.25">
      <c r="A1071" s="69" t="s">
        <v>1583</v>
      </c>
      <c r="B1071" s="76"/>
      <c r="C1071" s="55" t="s">
        <v>1537</v>
      </c>
      <c r="D1071" s="8" t="s">
        <v>1538</v>
      </c>
      <c r="E1071" s="20" t="s">
        <v>1539</v>
      </c>
      <c r="F1071" s="9" t="s">
        <v>22</v>
      </c>
      <c r="G1071" s="1" t="s">
        <v>165</v>
      </c>
      <c r="H1071" s="10">
        <f>1746+5</f>
        <v>1751</v>
      </c>
      <c r="I1071" s="10">
        <f>1800+5</f>
        <v>1805</v>
      </c>
      <c r="J1071" s="10">
        <f t="shared" ref="J1071:K1071" si="30">1800+5</f>
        <v>1805</v>
      </c>
      <c r="K1071" s="10">
        <f t="shared" si="30"/>
        <v>1805</v>
      </c>
    </row>
    <row r="1072" spans="1:11" ht="63" customHeight="1" x14ac:dyDescent="0.25">
      <c r="A1072" s="69"/>
      <c r="B1072" s="76"/>
      <c r="C1072" s="56"/>
      <c r="D1072" s="8" t="s">
        <v>803</v>
      </c>
      <c r="E1072" s="64" t="s">
        <v>609</v>
      </c>
      <c r="F1072" s="55" t="s">
        <v>7</v>
      </c>
      <c r="G1072" s="1">
        <v>0</v>
      </c>
      <c r="H1072" s="1">
        <v>12815.64</v>
      </c>
      <c r="I1072" s="1">
        <v>11016</v>
      </c>
      <c r="J1072" s="1">
        <v>8856</v>
      </c>
      <c r="K1072" s="1">
        <v>8064.0000000000009</v>
      </c>
    </row>
    <row r="1073" spans="1:17" ht="15.75" x14ac:dyDescent="0.25">
      <c r="A1073" s="69"/>
      <c r="B1073" s="76"/>
      <c r="C1073" s="57"/>
      <c r="D1073" s="8" t="s">
        <v>804</v>
      </c>
      <c r="E1073" s="65"/>
      <c r="F1073" s="57"/>
      <c r="G1073" s="1">
        <v>0</v>
      </c>
      <c r="H1073" s="1">
        <v>932</v>
      </c>
      <c r="I1073" s="1">
        <v>590</v>
      </c>
      <c r="J1073" s="1">
        <v>456.8</v>
      </c>
      <c r="K1073" s="1">
        <v>447.40000000000003</v>
      </c>
    </row>
    <row r="1074" spans="1:17" ht="31.5" x14ac:dyDescent="0.25">
      <c r="A1074" s="69" t="s">
        <v>1584</v>
      </c>
      <c r="B1074" s="76"/>
      <c r="C1074" s="55" t="s">
        <v>1541</v>
      </c>
      <c r="D1074" s="8" t="s">
        <v>1543</v>
      </c>
      <c r="E1074" s="20" t="s">
        <v>1542</v>
      </c>
      <c r="F1074" s="9" t="s">
        <v>61</v>
      </c>
      <c r="G1074" s="1" t="s">
        <v>165</v>
      </c>
      <c r="H1074" s="10">
        <v>600</v>
      </c>
      <c r="I1074" s="10">
        <v>600</v>
      </c>
      <c r="J1074" s="10">
        <v>600</v>
      </c>
      <c r="K1074" s="10">
        <v>600</v>
      </c>
    </row>
    <row r="1075" spans="1:17" ht="47.25" x14ac:dyDescent="0.25">
      <c r="A1075" s="69"/>
      <c r="B1075" s="76"/>
      <c r="C1075" s="56"/>
      <c r="D1075" s="8" t="s">
        <v>1544</v>
      </c>
      <c r="E1075" s="20" t="s">
        <v>1545</v>
      </c>
      <c r="F1075" s="9" t="s">
        <v>61</v>
      </c>
      <c r="G1075" s="1" t="s">
        <v>165</v>
      </c>
      <c r="H1075" s="10">
        <v>3977</v>
      </c>
      <c r="I1075" s="10">
        <v>4100</v>
      </c>
      <c r="J1075" s="10">
        <v>4100</v>
      </c>
      <c r="K1075" s="10">
        <v>4100</v>
      </c>
    </row>
    <row r="1076" spans="1:17" ht="63" x14ac:dyDescent="0.25">
      <c r="A1076" s="69"/>
      <c r="B1076" s="76"/>
      <c r="C1076" s="57"/>
      <c r="D1076" s="8" t="s">
        <v>807</v>
      </c>
      <c r="E1076" s="20" t="s">
        <v>609</v>
      </c>
      <c r="F1076" s="9" t="s">
        <v>7</v>
      </c>
      <c r="G1076" s="1">
        <v>0</v>
      </c>
      <c r="H1076" s="1">
        <f>4404+29191.18</f>
        <v>33595.18</v>
      </c>
      <c r="I1076" s="1">
        <f>3672+25092</f>
        <v>28764</v>
      </c>
      <c r="J1076" s="1">
        <f>2952+20172</f>
        <v>23124</v>
      </c>
      <c r="K1076" s="1">
        <f>2688+18368</f>
        <v>21056</v>
      </c>
    </row>
    <row r="1077" spans="1:17" ht="121.5" customHeight="1" x14ac:dyDescent="0.25">
      <c r="A1077" s="69" t="s">
        <v>1585</v>
      </c>
      <c r="B1077" s="76"/>
      <c r="C1077" s="55" t="s">
        <v>1548</v>
      </c>
      <c r="D1077" s="8" t="s">
        <v>1084</v>
      </c>
      <c r="E1077" s="20" t="s">
        <v>798</v>
      </c>
      <c r="F1077" s="9" t="s">
        <v>68</v>
      </c>
      <c r="G1077" s="1" t="s">
        <v>165</v>
      </c>
      <c r="H1077" s="10">
        <v>4200</v>
      </c>
      <c r="I1077" s="10">
        <v>4300</v>
      </c>
      <c r="J1077" s="10">
        <v>4500</v>
      </c>
      <c r="K1077" s="10">
        <v>4700</v>
      </c>
    </row>
    <row r="1078" spans="1:17" ht="63" x14ac:dyDescent="0.25">
      <c r="A1078" s="69"/>
      <c r="B1078" s="76"/>
      <c r="C1078" s="57"/>
      <c r="D1078" s="8" t="s">
        <v>822</v>
      </c>
      <c r="E1078" s="20" t="s">
        <v>609</v>
      </c>
      <c r="F1078" s="9" t="s">
        <v>109</v>
      </c>
      <c r="G1078" s="11">
        <v>0</v>
      </c>
      <c r="H1078" s="1">
        <v>7434</v>
      </c>
      <c r="I1078" s="1">
        <v>6063</v>
      </c>
      <c r="J1078" s="1">
        <v>4792.5</v>
      </c>
      <c r="K1078" s="1">
        <v>4826.8999999999996</v>
      </c>
    </row>
    <row r="1079" spans="1:17" ht="29.25" customHeight="1" x14ac:dyDescent="0.25">
      <c r="A1079" s="69" t="s">
        <v>1586</v>
      </c>
      <c r="B1079" s="76"/>
      <c r="C1079" s="55" t="s">
        <v>1552</v>
      </c>
      <c r="D1079" s="8" t="s">
        <v>1538</v>
      </c>
      <c r="E1079" s="20" t="s">
        <v>370</v>
      </c>
      <c r="F1079" s="9" t="s">
        <v>22</v>
      </c>
      <c r="G1079" s="1" t="s">
        <v>165</v>
      </c>
      <c r="H1079" s="1" t="s">
        <v>1551</v>
      </c>
      <c r="I1079" s="1" t="s">
        <v>1551</v>
      </c>
      <c r="J1079" s="1" t="s">
        <v>1551</v>
      </c>
      <c r="K1079" s="1" t="s">
        <v>1551</v>
      </c>
    </row>
    <row r="1080" spans="1:17" ht="63" x14ac:dyDescent="0.25">
      <c r="A1080" s="69"/>
      <c r="B1080" s="77"/>
      <c r="C1080" s="57"/>
      <c r="D1080" s="8" t="s">
        <v>815</v>
      </c>
      <c r="E1080" s="20" t="s">
        <v>1549</v>
      </c>
      <c r="F1080" s="9" t="s">
        <v>109</v>
      </c>
      <c r="G1080" s="1">
        <v>0</v>
      </c>
      <c r="H1080" s="1">
        <v>42251.799999999996</v>
      </c>
      <c r="I1080" s="1">
        <v>41169.919999999998</v>
      </c>
      <c r="J1080" s="1">
        <v>32207.86</v>
      </c>
      <c r="K1080" s="1">
        <v>31856.98</v>
      </c>
      <c r="M1080" s="53"/>
      <c r="N1080" s="53"/>
      <c r="O1080" s="53"/>
      <c r="P1080" s="53"/>
      <c r="Q1080" s="53"/>
    </row>
    <row r="1081" spans="1:17" ht="63" customHeight="1" x14ac:dyDescent="0.25">
      <c r="A1081" s="61" t="s">
        <v>598</v>
      </c>
      <c r="B1081" s="62"/>
      <c r="C1081" s="62"/>
      <c r="D1081" s="63"/>
      <c r="E1081" s="13" t="s">
        <v>16</v>
      </c>
      <c r="F1081" s="14" t="s">
        <v>7</v>
      </c>
      <c r="G1081" s="15">
        <f>G446+G449+G452+G455+G458+G461+G464+G467+G471+G472+G475+G477+G481+G484+G485+G488+G491+G494+G497+G500+G503+G506+G510+G513+G516+G519+G522+G525+G528+G531+G534+G537+G539+G542+G546+G549+G552+G555+G558+G561+G563+G566+G568+G570+G571+G573+G575+G577+G579+G582+G585+G588+G592+G595+G598+G600+G603+G604+G607+G610+G613+G618+G622+G626+G630+G633+G637+G641+G644+G648+G651+G655+G659+G661+G664+G668+G671+G675+G679+G682+G687+G688+G693+G694+G698+G699+G702+G703+G706+G709+G712+G715+G718+G720+G723+G727+G731+G734+G737+G740+G743+G747+G751+G755+G759+G762+G765+G768+G771+G774+G777+G780+G783+G786+G788+G790+G792+G794+G796+G798+G800+G802+G804+G806+G808+G810+G812+G814+G816+G818+G820+G822+G824+G826+G828+G830+G832+G834+G836+G838+G840+G842+G844+G846+G848+G850+G852+G854+G856+G877+G878+G894+G895+G903+G910+G911+G917+G934+G935+G936+G937+G938+G942+G943+G944+G945+G949+G950+G951+G955+G956+G957+G961+G962+G963+G969+G972+G975+G978+G985+G988+G989+G993+G994+G996+G998+G999+G1007+G1008+G1010+G1012+G1015+G1019+G1020+G1028+G1030+G1033+G1035+G1037+G1041+G1045+G1048+G1053+G1055+G1058+G1059+G1060+G1061+G1063+G1066+G1067+G1068+G1070+G1072+G1073+G1076+G1078+G1080</f>
        <v>1965962.2343099988</v>
      </c>
      <c r="H1081" s="15">
        <f t="shared" ref="H1081:K1081" si="31">H446+H449+H452+H455+H458+H461+H464+H467+H471+H472+H475+H477+H481+H484+H485+H488+H491+H494+H497+H500+H503+H506+H510+H513+H516+H519+H522+H525+H528+H531+H534+H537+H539+H542+H546+H549+H552+H555+H558+H561+H563+H566+H568+H570+H571+H573+H575+H577+H579+H582+H585+H588+H592+H595+H598+H600+H603+H604+H607+H610+H613+H618+H622+H626+H630+H633+H637+H641+H644+H648+H651+H655+H659+H661+H664+H668+H671+H675+H679+H682+H687+H688+H693+H694+H698+H699+H702+H703+H706+H709+H712+H715+H718+H720+H723+H727+H731+H734+H737+H740+H743+H747+H751+H755+H759+H762+H765+H768+H771+H774+H777+H780+H783+H786+H788+H790+H792+H794+H796+H798+H800+H802+H804+H806+H808+H810+H812+H814+H816+H818+H820+H822+H824+H826+H828+H830+H832+H834+H836+H838+H840+H842+H844+H846+H848+H850+H852+H854+H856+H877+H878+H894+H895+H903+H910+H911+H917+H934+H935+H936+H937+H938+H942+H943+H944+H945+H949+H950+H951+H955+H956+H957+H961+H962+H963+H969+H972+H975+H978+H985+H988+H989+H993+H994+H996+H998+H999+H1007+H1008+H1010+H1012+H1015+H1019+H1020+H1028+H1030+H1033+H1035+H1037+H1041+H1045+H1048+H1053+H1055+H1058+H1059+H1060+H1061+H1063+H1066+H1067+H1068+H1070+H1072+H1073+H1076+H1078+H1080</f>
        <v>2127556.7459300002</v>
      </c>
      <c r="I1081" s="15">
        <f t="shared" si="31"/>
        <v>1807405.5250000001</v>
      </c>
      <c r="J1081" s="15">
        <f t="shared" si="31"/>
        <v>1429744.5120000008</v>
      </c>
      <c r="K1081" s="15">
        <f t="shared" si="31"/>
        <v>1410662.5079999994</v>
      </c>
    </row>
    <row r="1082" spans="1:17" ht="63" customHeight="1" x14ac:dyDescent="0.25">
      <c r="A1082" s="58" t="s">
        <v>85</v>
      </c>
      <c r="B1082" s="59"/>
      <c r="C1082" s="59"/>
      <c r="D1082" s="60"/>
      <c r="E1082" s="16" t="s">
        <v>16</v>
      </c>
      <c r="F1082" s="17" t="s">
        <v>7</v>
      </c>
      <c r="G1082" s="18">
        <f>G1081</f>
        <v>1965962.2343099988</v>
      </c>
      <c r="H1082" s="18">
        <f t="shared" ref="H1082:K1082" si="32">H1081</f>
        <v>2127556.7459300002</v>
      </c>
      <c r="I1082" s="18">
        <f t="shared" si="32"/>
        <v>1807405.5250000001</v>
      </c>
      <c r="J1082" s="18">
        <f t="shared" si="32"/>
        <v>1429744.5120000008</v>
      </c>
      <c r="K1082" s="18">
        <f t="shared" si="32"/>
        <v>1410662.5079999994</v>
      </c>
    </row>
    <row r="1083" spans="1:17" ht="15.75" customHeight="1" x14ac:dyDescent="0.25">
      <c r="A1083" s="29" t="s">
        <v>956</v>
      </c>
      <c r="B1083" s="66" t="s">
        <v>238</v>
      </c>
      <c r="C1083" s="67"/>
      <c r="D1083" s="67"/>
      <c r="E1083" s="67"/>
      <c r="F1083" s="67"/>
      <c r="G1083" s="67"/>
      <c r="H1083" s="67"/>
      <c r="I1083" s="67"/>
      <c r="J1083" s="67"/>
      <c r="K1083" s="68"/>
    </row>
    <row r="1084" spans="1:17" ht="36" customHeight="1" x14ac:dyDescent="0.25">
      <c r="A1084" s="55" t="s">
        <v>957</v>
      </c>
      <c r="B1084" s="55" t="s">
        <v>237</v>
      </c>
      <c r="C1084" s="55" t="s">
        <v>239</v>
      </c>
      <c r="D1084" s="8" t="s">
        <v>241</v>
      </c>
      <c r="E1084" s="8" t="s">
        <v>240</v>
      </c>
      <c r="F1084" s="9" t="s">
        <v>61</v>
      </c>
      <c r="G1084" s="10">
        <v>937</v>
      </c>
      <c r="H1084" s="10">
        <v>1200</v>
      </c>
      <c r="I1084" s="10">
        <v>1200</v>
      </c>
      <c r="J1084" s="10">
        <v>1200</v>
      </c>
      <c r="K1084" s="10">
        <v>1200</v>
      </c>
    </row>
    <row r="1085" spans="1:17" ht="63" x14ac:dyDescent="0.25">
      <c r="A1085" s="57"/>
      <c r="B1085" s="56"/>
      <c r="C1085" s="57"/>
      <c r="D1085" s="8" t="s">
        <v>242</v>
      </c>
      <c r="E1085" s="8" t="s">
        <v>16</v>
      </c>
      <c r="F1085" s="9" t="s">
        <v>224</v>
      </c>
      <c r="G1085" s="1">
        <v>1525.62</v>
      </c>
      <c r="H1085" s="1">
        <v>1017.64</v>
      </c>
      <c r="I1085" s="1">
        <v>806.93</v>
      </c>
      <c r="J1085" s="1">
        <v>687.3</v>
      </c>
      <c r="K1085" s="1">
        <v>698.73</v>
      </c>
    </row>
    <row r="1086" spans="1:17" ht="16.5" customHeight="1" x14ac:dyDescent="0.25">
      <c r="A1086" s="55" t="s">
        <v>958</v>
      </c>
      <c r="B1086" s="56"/>
      <c r="C1086" s="55" t="s">
        <v>150</v>
      </c>
      <c r="D1086" s="64" t="s">
        <v>153</v>
      </c>
      <c r="E1086" s="8" t="s">
        <v>243</v>
      </c>
      <c r="F1086" s="9" t="s">
        <v>22</v>
      </c>
      <c r="G1086" s="10">
        <v>985246</v>
      </c>
      <c r="H1086" s="10">
        <v>357661716</v>
      </c>
      <c r="I1086" s="10">
        <v>431457601</v>
      </c>
      <c r="J1086" s="10">
        <v>532954031</v>
      </c>
      <c r="K1086" s="10">
        <v>532954031</v>
      </c>
    </row>
    <row r="1087" spans="1:17" ht="31.5" x14ac:dyDescent="0.25">
      <c r="A1087" s="56"/>
      <c r="B1087" s="56"/>
      <c r="C1087" s="56"/>
      <c r="D1087" s="65"/>
      <c r="E1087" s="8" t="s">
        <v>245</v>
      </c>
      <c r="F1087" s="9" t="s">
        <v>22</v>
      </c>
      <c r="G1087" s="10">
        <v>16</v>
      </c>
      <c r="H1087" s="11">
        <v>9</v>
      </c>
      <c r="I1087" s="11">
        <v>8</v>
      </c>
      <c r="J1087" s="11">
        <v>8</v>
      </c>
      <c r="K1087" s="11">
        <v>8</v>
      </c>
    </row>
    <row r="1088" spans="1:17" ht="63" x14ac:dyDescent="0.25">
      <c r="A1088" s="57"/>
      <c r="B1088" s="56"/>
      <c r="C1088" s="57"/>
      <c r="D1088" s="8" t="s">
        <v>242</v>
      </c>
      <c r="E1088" s="8" t="s">
        <v>16</v>
      </c>
      <c r="F1088" s="9" t="s">
        <v>109</v>
      </c>
      <c r="G1088" s="1">
        <v>1932.45</v>
      </c>
      <c r="H1088" s="1">
        <v>1017.64</v>
      </c>
      <c r="I1088" s="1">
        <v>806.93</v>
      </c>
      <c r="J1088" s="1">
        <v>687.3</v>
      </c>
      <c r="K1088" s="1">
        <v>698.73</v>
      </c>
    </row>
    <row r="1089" spans="1:11" ht="32.25" customHeight="1" x14ac:dyDescent="0.25">
      <c r="A1089" s="55" t="s">
        <v>959</v>
      </c>
      <c r="B1089" s="56"/>
      <c r="C1089" s="55" t="s">
        <v>247</v>
      </c>
      <c r="D1089" s="64" t="s">
        <v>252</v>
      </c>
      <c r="E1089" s="8" t="s">
        <v>246</v>
      </c>
      <c r="F1089" s="9" t="s">
        <v>22</v>
      </c>
      <c r="G1089" s="10">
        <v>2</v>
      </c>
      <c r="H1089" s="10" t="s">
        <v>165</v>
      </c>
      <c r="I1089" s="10" t="s">
        <v>165</v>
      </c>
      <c r="J1089" s="10" t="s">
        <v>165</v>
      </c>
      <c r="K1089" s="10" t="s">
        <v>165</v>
      </c>
    </row>
    <row r="1090" spans="1:11" ht="47.25" x14ac:dyDescent="0.25">
      <c r="A1090" s="56"/>
      <c r="B1090" s="56"/>
      <c r="C1090" s="56"/>
      <c r="D1090" s="71"/>
      <c r="E1090" s="8" t="s">
        <v>248</v>
      </c>
      <c r="F1090" s="9" t="s">
        <v>22</v>
      </c>
      <c r="G1090" s="10">
        <v>418336</v>
      </c>
      <c r="H1090" s="10" t="s">
        <v>165</v>
      </c>
      <c r="I1090" s="10" t="s">
        <v>165</v>
      </c>
      <c r="J1090" s="10" t="s">
        <v>165</v>
      </c>
      <c r="K1090" s="10" t="s">
        <v>165</v>
      </c>
    </row>
    <row r="1091" spans="1:11" ht="63" x14ac:dyDescent="0.25">
      <c r="A1091" s="56"/>
      <c r="B1091" s="56"/>
      <c r="C1091" s="56"/>
      <c r="D1091" s="71"/>
      <c r="E1091" s="8" t="s">
        <v>249</v>
      </c>
      <c r="F1091" s="9" t="s">
        <v>22</v>
      </c>
      <c r="G1091" s="10">
        <v>5384</v>
      </c>
      <c r="H1091" s="10">
        <v>4411</v>
      </c>
      <c r="I1091" s="10">
        <v>4411</v>
      </c>
      <c r="J1091" s="10">
        <v>4411</v>
      </c>
      <c r="K1091" s="10">
        <v>4411</v>
      </c>
    </row>
    <row r="1092" spans="1:11" ht="47.25" x14ac:dyDescent="0.25">
      <c r="A1092" s="56"/>
      <c r="B1092" s="56"/>
      <c r="C1092" s="56"/>
      <c r="D1092" s="71"/>
      <c r="E1092" s="8" t="s">
        <v>250</v>
      </c>
      <c r="F1092" s="9" t="s">
        <v>22</v>
      </c>
      <c r="G1092" s="10">
        <v>5384</v>
      </c>
      <c r="H1092" s="10" t="s">
        <v>165</v>
      </c>
      <c r="I1092" s="10" t="s">
        <v>165</v>
      </c>
      <c r="J1092" s="10" t="s">
        <v>165</v>
      </c>
      <c r="K1092" s="10" t="s">
        <v>165</v>
      </c>
    </row>
    <row r="1093" spans="1:11" ht="63" x14ac:dyDescent="0.25">
      <c r="A1093" s="56"/>
      <c r="B1093" s="56"/>
      <c r="C1093" s="56"/>
      <c r="D1093" s="71"/>
      <c r="E1093" s="8" t="s">
        <v>251</v>
      </c>
      <c r="F1093" s="9" t="s">
        <v>22</v>
      </c>
      <c r="G1093" s="10">
        <v>5</v>
      </c>
      <c r="H1093" s="10" t="s">
        <v>165</v>
      </c>
      <c r="I1093" s="10" t="s">
        <v>165</v>
      </c>
      <c r="J1093" s="10" t="s">
        <v>165</v>
      </c>
      <c r="K1093" s="10" t="s">
        <v>165</v>
      </c>
    </row>
    <row r="1094" spans="1:11" ht="31.5" x14ac:dyDescent="0.25">
      <c r="A1094" s="56"/>
      <c r="B1094" s="56"/>
      <c r="C1094" s="56"/>
      <c r="D1094" s="71"/>
      <c r="E1094" s="8" t="s">
        <v>253</v>
      </c>
      <c r="F1094" s="9" t="s">
        <v>22</v>
      </c>
      <c r="G1094" s="11">
        <v>1</v>
      </c>
      <c r="H1094" s="10">
        <v>4</v>
      </c>
      <c r="I1094" s="10">
        <v>4</v>
      </c>
      <c r="J1094" s="10">
        <v>4</v>
      </c>
      <c r="K1094" s="10">
        <v>4</v>
      </c>
    </row>
    <row r="1095" spans="1:11" ht="47.25" x14ac:dyDescent="0.25">
      <c r="A1095" s="56"/>
      <c r="B1095" s="56"/>
      <c r="C1095" s="56"/>
      <c r="D1095" s="71"/>
      <c r="E1095" s="8" t="s">
        <v>254</v>
      </c>
      <c r="F1095" s="9" t="s">
        <v>22</v>
      </c>
      <c r="G1095" s="10">
        <v>1738</v>
      </c>
      <c r="H1095" s="10" t="s">
        <v>165</v>
      </c>
      <c r="I1095" s="10" t="s">
        <v>165</v>
      </c>
      <c r="J1095" s="10" t="s">
        <v>165</v>
      </c>
      <c r="K1095" s="10" t="s">
        <v>165</v>
      </c>
    </row>
    <row r="1096" spans="1:11" ht="63" x14ac:dyDescent="0.25">
      <c r="A1096" s="56"/>
      <c r="B1096" s="56"/>
      <c r="C1096" s="56"/>
      <c r="D1096" s="71"/>
      <c r="E1096" s="8" t="s">
        <v>255</v>
      </c>
      <c r="F1096" s="9" t="s">
        <v>22</v>
      </c>
      <c r="G1096" s="10">
        <v>1738</v>
      </c>
      <c r="H1096" s="10" t="s">
        <v>165</v>
      </c>
      <c r="I1096" s="10" t="s">
        <v>165</v>
      </c>
      <c r="J1096" s="10" t="s">
        <v>165</v>
      </c>
      <c r="K1096" s="10" t="s">
        <v>165</v>
      </c>
    </row>
    <row r="1097" spans="1:11" ht="47.25" x14ac:dyDescent="0.25">
      <c r="A1097" s="56"/>
      <c r="B1097" s="56"/>
      <c r="C1097" s="56"/>
      <c r="D1097" s="71"/>
      <c r="E1097" s="8" t="s">
        <v>256</v>
      </c>
      <c r="F1097" s="9" t="s">
        <v>22</v>
      </c>
      <c r="G1097" s="10">
        <v>1738</v>
      </c>
      <c r="H1097" s="10" t="s">
        <v>165</v>
      </c>
      <c r="I1097" s="10" t="s">
        <v>165</v>
      </c>
      <c r="J1097" s="10" t="s">
        <v>165</v>
      </c>
      <c r="K1097" s="10" t="s">
        <v>165</v>
      </c>
    </row>
    <row r="1098" spans="1:11" ht="63" x14ac:dyDescent="0.25">
      <c r="A1098" s="56"/>
      <c r="B1098" s="56"/>
      <c r="C1098" s="56"/>
      <c r="D1098" s="71"/>
      <c r="E1098" s="8" t="s">
        <v>257</v>
      </c>
      <c r="F1098" s="9" t="s">
        <v>22</v>
      </c>
      <c r="G1098" s="10">
        <v>7</v>
      </c>
      <c r="H1098" s="10" t="s">
        <v>165</v>
      </c>
      <c r="I1098" s="10" t="s">
        <v>165</v>
      </c>
      <c r="J1098" s="10" t="s">
        <v>165</v>
      </c>
      <c r="K1098" s="10" t="s">
        <v>165</v>
      </c>
    </row>
    <row r="1099" spans="1:11" ht="31.5" x14ac:dyDescent="0.25">
      <c r="A1099" s="56"/>
      <c r="B1099" s="56"/>
      <c r="C1099" s="56"/>
      <c r="D1099" s="71"/>
      <c r="E1099" s="8" t="s">
        <v>259</v>
      </c>
      <c r="F1099" s="9" t="s">
        <v>22</v>
      </c>
      <c r="G1099" s="10">
        <v>38</v>
      </c>
      <c r="H1099" s="10" t="s">
        <v>165</v>
      </c>
      <c r="I1099" s="10" t="s">
        <v>165</v>
      </c>
      <c r="J1099" s="10" t="s">
        <v>165</v>
      </c>
      <c r="K1099" s="10" t="s">
        <v>165</v>
      </c>
    </row>
    <row r="1100" spans="1:11" ht="47.25" x14ac:dyDescent="0.25">
      <c r="A1100" s="56"/>
      <c r="B1100" s="56"/>
      <c r="C1100" s="56"/>
      <c r="D1100" s="71"/>
      <c r="E1100" s="8" t="s">
        <v>258</v>
      </c>
      <c r="F1100" s="9" t="s">
        <v>22</v>
      </c>
      <c r="G1100" s="10">
        <v>1</v>
      </c>
      <c r="H1100" s="10">
        <v>880</v>
      </c>
      <c r="I1100" s="10">
        <v>880</v>
      </c>
      <c r="J1100" s="10">
        <v>880</v>
      </c>
      <c r="K1100" s="10">
        <v>880</v>
      </c>
    </row>
    <row r="1101" spans="1:11" ht="31.5" x14ac:dyDescent="0.25">
      <c r="A1101" s="56"/>
      <c r="B1101" s="56"/>
      <c r="C1101" s="56"/>
      <c r="D1101" s="71"/>
      <c r="E1101" s="8" t="s">
        <v>544</v>
      </c>
      <c r="F1101" s="9" t="s">
        <v>22</v>
      </c>
      <c r="G1101" s="10" t="s">
        <v>165</v>
      </c>
      <c r="H1101" s="10">
        <v>13</v>
      </c>
      <c r="I1101" s="10">
        <v>13</v>
      </c>
      <c r="J1101" s="10">
        <v>13</v>
      </c>
      <c r="K1101" s="10">
        <v>13</v>
      </c>
    </row>
    <row r="1102" spans="1:11" ht="31.5" x14ac:dyDescent="0.25">
      <c r="A1102" s="56"/>
      <c r="B1102" s="56"/>
      <c r="C1102" s="56"/>
      <c r="D1102" s="71"/>
      <c r="E1102" s="8" t="s">
        <v>1008</v>
      </c>
      <c r="F1102" s="9" t="s">
        <v>22</v>
      </c>
      <c r="G1102" s="10" t="s">
        <v>165</v>
      </c>
      <c r="H1102" s="10">
        <v>1</v>
      </c>
      <c r="I1102" s="10">
        <v>1</v>
      </c>
      <c r="J1102" s="10">
        <v>1</v>
      </c>
      <c r="K1102" s="10">
        <v>1</v>
      </c>
    </row>
    <row r="1103" spans="1:11" ht="15.75" x14ac:dyDescent="0.25">
      <c r="A1103" s="56"/>
      <c r="B1103" s="56"/>
      <c r="C1103" s="56"/>
      <c r="D1103" s="65"/>
      <c r="E1103" s="8" t="s">
        <v>1007</v>
      </c>
      <c r="F1103" s="9" t="s">
        <v>22</v>
      </c>
      <c r="G1103" s="10" t="s">
        <v>165</v>
      </c>
      <c r="H1103" s="10">
        <v>244866</v>
      </c>
      <c r="I1103" s="10">
        <v>244866</v>
      </c>
      <c r="J1103" s="10">
        <v>244866</v>
      </c>
      <c r="K1103" s="10">
        <v>244866</v>
      </c>
    </row>
    <row r="1104" spans="1:11" ht="63" x14ac:dyDescent="0.25">
      <c r="A1104" s="57"/>
      <c r="B1104" s="56"/>
      <c r="C1104" s="57"/>
      <c r="D1104" s="8" t="s">
        <v>242</v>
      </c>
      <c r="E1104" s="8" t="s">
        <v>16</v>
      </c>
      <c r="F1104" s="9" t="s">
        <v>109</v>
      </c>
      <c r="G1104" s="1">
        <f>305.13*4</f>
        <v>1220.52</v>
      </c>
      <c r="H1104" s="1">
        <v>1017.64</v>
      </c>
      <c r="I1104" s="1">
        <v>806.93</v>
      </c>
      <c r="J1104" s="1">
        <v>687.3</v>
      </c>
      <c r="K1104" s="1">
        <v>698.73</v>
      </c>
    </row>
    <row r="1105" spans="1:11" ht="47.25" customHeight="1" x14ac:dyDescent="0.25">
      <c r="A1105" s="55" t="s">
        <v>960</v>
      </c>
      <c r="B1105" s="56"/>
      <c r="C1105" s="55" t="s">
        <v>262</v>
      </c>
      <c r="D1105" s="8" t="s">
        <v>261</v>
      </c>
      <c r="E1105" s="8" t="s">
        <v>260</v>
      </c>
      <c r="F1105" s="9" t="s">
        <v>22</v>
      </c>
      <c r="G1105" s="10">
        <v>3</v>
      </c>
      <c r="H1105" s="10">
        <v>1</v>
      </c>
      <c r="I1105" s="10">
        <v>1</v>
      </c>
      <c r="J1105" s="10">
        <v>1</v>
      </c>
      <c r="K1105" s="10">
        <v>1</v>
      </c>
    </row>
    <row r="1106" spans="1:11" ht="34.5" customHeight="1" x14ac:dyDescent="0.25">
      <c r="A1106" s="56"/>
      <c r="B1106" s="56"/>
      <c r="C1106" s="56"/>
      <c r="D1106" s="8" t="s">
        <v>261</v>
      </c>
      <c r="E1106" s="8" t="s">
        <v>246</v>
      </c>
      <c r="F1106" s="9" t="s">
        <v>22</v>
      </c>
      <c r="G1106" s="10">
        <v>8</v>
      </c>
      <c r="H1106" s="10">
        <v>8</v>
      </c>
      <c r="I1106" s="10">
        <v>8</v>
      </c>
      <c r="J1106" s="10">
        <v>8</v>
      </c>
      <c r="K1106" s="10">
        <v>8</v>
      </c>
    </row>
    <row r="1107" spans="1:11" ht="39.75" customHeight="1" x14ac:dyDescent="0.25">
      <c r="A1107" s="56"/>
      <c r="B1107" s="56"/>
      <c r="C1107" s="56"/>
      <c r="D1107" s="8" t="s">
        <v>261</v>
      </c>
      <c r="E1107" s="8" t="s">
        <v>253</v>
      </c>
      <c r="F1107" s="9" t="s">
        <v>22</v>
      </c>
      <c r="G1107" s="10">
        <v>5</v>
      </c>
      <c r="H1107" s="10">
        <v>4</v>
      </c>
      <c r="I1107" s="10">
        <v>4</v>
      </c>
      <c r="J1107" s="10">
        <v>4</v>
      </c>
      <c r="K1107" s="10">
        <v>4</v>
      </c>
    </row>
    <row r="1108" spans="1:11" ht="47.25" x14ac:dyDescent="0.25">
      <c r="A1108" s="56"/>
      <c r="B1108" s="56"/>
      <c r="C1108" s="56"/>
      <c r="D1108" s="8" t="s">
        <v>261</v>
      </c>
      <c r="E1108" s="8" t="s">
        <v>258</v>
      </c>
      <c r="F1108" s="9" t="s">
        <v>22</v>
      </c>
      <c r="G1108" s="10">
        <v>918</v>
      </c>
      <c r="H1108" s="10">
        <v>96</v>
      </c>
      <c r="I1108" s="10">
        <v>96</v>
      </c>
      <c r="J1108" s="10">
        <v>96</v>
      </c>
      <c r="K1108" s="10">
        <v>96</v>
      </c>
    </row>
    <row r="1109" spans="1:11" ht="31.5" x14ac:dyDescent="0.25">
      <c r="A1109" s="56"/>
      <c r="B1109" s="56"/>
      <c r="C1109" s="56"/>
      <c r="D1109" s="8" t="s">
        <v>261</v>
      </c>
      <c r="E1109" s="8" t="s">
        <v>259</v>
      </c>
      <c r="F1109" s="9" t="s">
        <v>22</v>
      </c>
      <c r="G1109" s="10">
        <v>38</v>
      </c>
      <c r="H1109" s="10">
        <v>34</v>
      </c>
      <c r="I1109" s="10">
        <v>34</v>
      </c>
      <c r="J1109" s="10">
        <v>34</v>
      </c>
      <c r="K1109" s="10">
        <v>34</v>
      </c>
    </row>
    <row r="1110" spans="1:11" ht="63" x14ac:dyDescent="0.25">
      <c r="A1110" s="57"/>
      <c r="B1110" s="56"/>
      <c r="C1110" s="57"/>
      <c r="D1110" s="8" t="s">
        <v>242</v>
      </c>
      <c r="E1110" s="8" t="s">
        <v>16</v>
      </c>
      <c r="F1110" s="9" t="s">
        <v>109</v>
      </c>
      <c r="G1110" s="1">
        <f>223.756*5</f>
        <v>1118.78</v>
      </c>
      <c r="H1110" s="1">
        <v>1017.64</v>
      </c>
      <c r="I1110" s="1">
        <v>806.93</v>
      </c>
      <c r="J1110" s="1">
        <v>687.3</v>
      </c>
      <c r="K1110" s="1">
        <v>698.73</v>
      </c>
    </row>
    <row r="1111" spans="1:11" ht="34.5" customHeight="1" x14ac:dyDescent="0.25">
      <c r="A1111" s="55" t="s">
        <v>961</v>
      </c>
      <c r="B1111" s="56"/>
      <c r="C1111" s="55" t="s">
        <v>270</v>
      </c>
      <c r="D1111" s="8" t="s">
        <v>269</v>
      </c>
      <c r="E1111" s="8" t="s">
        <v>263</v>
      </c>
      <c r="F1111" s="9" t="s">
        <v>22</v>
      </c>
      <c r="G1111" s="10">
        <v>149</v>
      </c>
      <c r="H1111" s="10">
        <v>135</v>
      </c>
      <c r="I1111" s="10">
        <v>135</v>
      </c>
      <c r="J1111" s="10">
        <v>135</v>
      </c>
      <c r="K1111" s="10">
        <v>135</v>
      </c>
    </row>
    <row r="1112" spans="1:11" ht="31.5" x14ac:dyDescent="0.25">
      <c r="A1112" s="56"/>
      <c r="B1112" s="56"/>
      <c r="C1112" s="56"/>
      <c r="D1112" s="8" t="s">
        <v>269</v>
      </c>
      <c r="E1112" s="8" t="s">
        <v>264</v>
      </c>
      <c r="F1112" s="9" t="s">
        <v>22</v>
      </c>
      <c r="G1112" s="10">
        <v>9</v>
      </c>
      <c r="H1112" s="10">
        <v>9</v>
      </c>
      <c r="I1112" s="10">
        <v>9</v>
      </c>
      <c r="J1112" s="10">
        <v>9</v>
      </c>
      <c r="K1112" s="10">
        <v>9</v>
      </c>
    </row>
    <row r="1113" spans="1:11" ht="15.75" x14ac:dyDescent="0.25">
      <c r="A1113" s="56"/>
      <c r="B1113" s="56"/>
      <c r="C1113" s="56"/>
      <c r="D1113" s="8" t="s">
        <v>269</v>
      </c>
      <c r="E1113" s="8" t="s">
        <v>265</v>
      </c>
      <c r="F1113" s="9" t="s">
        <v>22</v>
      </c>
      <c r="G1113" s="10">
        <v>76</v>
      </c>
      <c r="H1113" s="10">
        <v>72</v>
      </c>
      <c r="I1113" s="10">
        <v>72</v>
      </c>
      <c r="J1113" s="10">
        <v>72</v>
      </c>
      <c r="K1113" s="10">
        <v>72</v>
      </c>
    </row>
    <row r="1114" spans="1:11" ht="63" x14ac:dyDescent="0.25">
      <c r="A1114" s="56"/>
      <c r="B1114" s="56"/>
      <c r="C1114" s="56"/>
      <c r="D1114" s="8" t="s">
        <v>269</v>
      </c>
      <c r="E1114" s="8" t="s">
        <v>266</v>
      </c>
      <c r="F1114" s="9" t="s">
        <v>61</v>
      </c>
      <c r="G1114" s="10">
        <v>1</v>
      </c>
      <c r="H1114" s="10">
        <v>2</v>
      </c>
      <c r="I1114" s="10">
        <v>2</v>
      </c>
      <c r="J1114" s="10">
        <v>2</v>
      </c>
      <c r="K1114" s="10">
        <v>2</v>
      </c>
    </row>
    <row r="1115" spans="1:11" ht="47.25" x14ac:dyDescent="0.25">
      <c r="A1115" s="56"/>
      <c r="B1115" s="56"/>
      <c r="C1115" s="56"/>
      <c r="D1115" s="8" t="s">
        <v>269</v>
      </c>
      <c r="E1115" s="8" t="s">
        <v>267</v>
      </c>
      <c r="F1115" s="9" t="s">
        <v>22</v>
      </c>
      <c r="G1115" s="10">
        <v>66</v>
      </c>
      <c r="H1115" s="10">
        <v>19</v>
      </c>
      <c r="I1115" s="10">
        <v>19</v>
      </c>
      <c r="J1115" s="10">
        <v>19</v>
      </c>
      <c r="K1115" s="10">
        <v>19</v>
      </c>
    </row>
    <row r="1116" spans="1:11" ht="63" x14ac:dyDescent="0.25">
      <c r="A1116" s="56"/>
      <c r="B1116" s="56"/>
      <c r="C1116" s="56"/>
      <c r="D1116" s="8" t="s">
        <v>269</v>
      </c>
      <c r="E1116" s="8" t="s">
        <v>268</v>
      </c>
      <c r="F1116" s="9" t="s">
        <v>61</v>
      </c>
      <c r="G1116" s="10">
        <v>33</v>
      </c>
      <c r="H1116" s="10">
        <v>15</v>
      </c>
      <c r="I1116" s="10">
        <v>15</v>
      </c>
      <c r="J1116" s="10">
        <v>15</v>
      </c>
      <c r="K1116" s="10">
        <v>15</v>
      </c>
    </row>
    <row r="1117" spans="1:11" ht="63" x14ac:dyDescent="0.25">
      <c r="A1117" s="56"/>
      <c r="B1117" s="56"/>
      <c r="C1117" s="56"/>
      <c r="D1117" s="8" t="s">
        <v>269</v>
      </c>
      <c r="E1117" s="8" t="s">
        <v>1009</v>
      </c>
      <c r="F1117" s="9" t="s">
        <v>22</v>
      </c>
      <c r="G1117" s="10">
        <v>84</v>
      </c>
      <c r="H1117" s="10">
        <v>123</v>
      </c>
      <c r="I1117" s="10">
        <v>123</v>
      </c>
      <c r="J1117" s="10">
        <v>123</v>
      </c>
      <c r="K1117" s="10">
        <v>123</v>
      </c>
    </row>
    <row r="1118" spans="1:11" ht="63" x14ac:dyDescent="0.25">
      <c r="A1118" s="57"/>
      <c r="B1118" s="56"/>
      <c r="C1118" s="57"/>
      <c r="D1118" s="8" t="s">
        <v>242</v>
      </c>
      <c r="E1118" s="8" t="s">
        <v>16</v>
      </c>
      <c r="F1118" s="9" t="s">
        <v>109</v>
      </c>
      <c r="G1118" s="1">
        <f>276.06*7</f>
        <v>1932.42</v>
      </c>
      <c r="H1118" s="1">
        <v>1017.64</v>
      </c>
      <c r="I1118" s="1">
        <v>806.93</v>
      </c>
      <c r="J1118" s="1">
        <v>687.3</v>
      </c>
      <c r="K1118" s="1">
        <v>698.73</v>
      </c>
    </row>
    <row r="1119" spans="1:11" ht="94.5" x14ac:dyDescent="0.25">
      <c r="A1119" s="55" t="s">
        <v>962</v>
      </c>
      <c r="B1119" s="56"/>
      <c r="C1119" s="55" t="s">
        <v>272</v>
      </c>
      <c r="D1119" s="64" t="s">
        <v>271</v>
      </c>
      <c r="E1119" s="8" t="s">
        <v>1015</v>
      </c>
      <c r="F1119" s="9" t="s">
        <v>22</v>
      </c>
      <c r="G1119" s="10">
        <v>586299</v>
      </c>
      <c r="H1119" s="10" t="s">
        <v>165</v>
      </c>
      <c r="I1119" s="10" t="s">
        <v>165</v>
      </c>
      <c r="J1119" s="10" t="s">
        <v>165</v>
      </c>
      <c r="K1119" s="10" t="s">
        <v>165</v>
      </c>
    </row>
    <row r="1120" spans="1:11" ht="110.25" x14ac:dyDescent="0.25">
      <c r="A1120" s="56"/>
      <c r="B1120" s="56"/>
      <c r="C1120" s="56"/>
      <c r="D1120" s="71"/>
      <c r="E1120" s="8" t="s">
        <v>1016</v>
      </c>
      <c r="F1120" s="9" t="s">
        <v>22</v>
      </c>
      <c r="G1120" s="10">
        <v>80</v>
      </c>
      <c r="H1120" s="10" t="s">
        <v>165</v>
      </c>
      <c r="I1120" s="10" t="s">
        <v>165</v>
      </c>
      <c r="J1120" s="10" t="s">
        <v>165</v>
      </c>
      <c r="K1120" s="10" t="s">
        <v>165</v>
      </c>
    </row>
    <row r="1121" spans="1:11" ht="110.25" x14ac:dyDescent="0.25">
      <c r="A1121" s="56"/>
      <c r="B1121" s="56"/>
      <c r="C1121" s="56"/>
      <c r="D1121" s="71"/>
      <c r="E1121" s="8" t="s">
        <v>1017</v>
      </c>
      <c r="F1121" s="9" t="s">
        <v>22</v>
      </c>
      <c r="G1121" s="10">
        <v>5</v>
      </c>
      <c r="H1121" s="10" t="s">
        <v>165</v>
      </c>
      <c r="I1121" s="10" t="s">
        <v>165</v>
      </c>
      <c r="J1121" s="10" t="s">
        <v>165</v>
      </c>
      <c r="K1121" s="10" t="s">
        <v>165</v>
      </c>
    </row>
    <row r="1122" spans="1:11" ht="63" x14ac:dyDescent="0.25">
      <c r="A1122" s="56"/>
      <c r="B1122" s="56"/>
      <c r="C1122" s="56"/>
      <c r="D1122" s="71"/>
      <c r="E1122" s="8" t="s">
        <v>1010</v>
      </c>
      <c r="F1122" s="9" t="s">
        <v>22</v>
      </c>
      <c r="G1122" s="10">
        <v>3</v>
      </c>
      <c r="H1122" s="10">
        <v>1</v>
      </c>
      <c r="I1122" s="10">
        <v>1</v>
      </c>
      <c r="J1122" s="10">
        <v>1</v>
      </c>
      <c r="K1122" s="10">
        <v>1</v>
      </c>
    </row>
    <row r="1123" spans="1:11" ht="94.5" x14ac:dyDescent="0.25">
      <c r="A1123" s="56"/>
      <c r="B1123" s="56"/>
      <c r="C1123" s="56"/>
      <c r="D1123" s="71"/>
      <c r="E1123" s="8" t="s">
        <v>1018</v>
      </c>
      <c r="F1123" s="9" t="s">
        <v>22</v>
      </c>
      <c r="G1123" s="10">
        <v>582831</v>
      </c>
      <c r="H1123" s="10" t="s">
        <v>165</v>
      </c>
      <c r="I1123" s="10" t="s">
        <v>165</v>
      </c>
      <c r="J1123" s="10" t="s">
        <v>165</v>
      </c>
      <c r="K1123" s="10" t="s">
        <v>165</v>
      </c>
    </row>
    <row r="1124" spans="1:11" ht="126" x14ac:dyDescent="0.25">
      <c r="A1124" s="56"/>
      <c r="B1124" s="56"/>
      <c r="C1124" s="56"/>
      <c r="D1124" s="71"/>
      <c r="E1124" s="8" t="s">
        <v>1019</v>
      </c>
      <c r="F1124" s="9" t="s">
        <v>22</v>
      </c>
      <c r="G1124" s="10">
        <v>5155</v>
      </c>
      <c r="H1124" s="10" t="s">
        <v>165</v>
      </c>
      <c r="I1124" s="10" t="s">
        <v>165</v>
      </c>
      <c r="J1124" s="10" t="s">
        <v>165</v>
      </c>
      <c r="K1124" s="10" t="s">
        <v>165</v>
      </c>
    </row>
    <row r="1125" spans="1:11" ht="94.5" x14ac:dyDescent="0.25">
      <c r="A1125" s="56"/>
      <c r="B1125" s="56"/>
      <c r="C1125" s="56"/>
      <c r="D1125" s="71"/>
      <c r="E1125" s="8" t="s">
        <v>1020</v>
      </c>
      <c r="F1125" s="9" t="s">
        <v>22</v>
      </c>
      <c r="G1125" s="10">
        <v>5155</v>
      </c>
      <c r="H1125" s="10" t="s">
        <v>165</v>
      </c>
      <c r="I1125" s="10" t="s">
        <v>165</v>
      </c>
      <c r="J1125" s="10" t="s">
        <v>165</v>
      </c>
      <c r="K1125" s="10" t="s">
        <v>165</v>
      </c>
    </row>
    <row r="1126" spans="1:11" ht="110.25" x14ac:dyDescent="0.25">
      <c r="A1126" s="56"/>
      <c r="B1126" s="56"/>
      <c r="C1126" s="56"/>
      <c r="D1126" s="71"/>
      <c r="E1126" s="8" t="s">
        <v>1021</v>
      </c>
      <c r="F1126" s="9" t="s">
        <v>22</v>
      </c>
      <c r="G1126" s="10">
        <v>5</v>
      </c>
      <c r="H1126" s="10" t="s">
        <v>165</v>
      </c>
      <c r="I1126" s="10" t="s">
        <v>165</v>
      </c>
      <c r="J1126" s="10" t="s">
        <v>165</v>
      </c>
      <c r="K1126" s="10" t="s">
        <v>165</v>
      </c>
    </row>
    <row r="1127" spans="1:11" ht="110.25" x14ac:dyDescent="0.25">
      <c r="A1127" s="56"/>
      <c r="B1127" s="56"/>
      <c r="C1127" s="56"/>
      <c r="D1127" s="71"/>
      <c r="E1127" s="8" t="s">
        <v>1022</v>
      </c>
      <c r="F1127" s="9" t="s">
        <v>22</v>
      </c>
      <c r="G1127" s="10">
        <v>18</v>
      </c>
      <c r="H1127" s="10" t="s">
        <v>165</v>
      </c>
      <c r="I1127" s="10" t="s">
        <v>165</v>
      </c>
      <c r="J1127" s="10" t="s">
        <v>165</v>
      </c>
      <c r="K1127" s="10" t="s">
        <v>165</v>
      </c>
    </row>
    <row r="1128" spans="1:11" ht="94.5" x14ac:dyDescent="0.25">
      <c r="A1128" s="56"/>
      <c r="B1128" s="56"/>
      <c r="C1128" s="56"/>
      <c r="D1128" s="71"/>
      <c r="E1128" s="8" t="s">
        <v>1023</v>
      </c>
      <c r="F1128" s="9" t="s">
        <v>22</v>
      </c>
      <c r="G1128" s="10">
        <v>8</v>
      </c>
      <c r="H1128" s="10">
        <v>8</v>
      </c>
      <c r="I1128" s="10">
        <v>8</v>
      </c>
      <c r="J1128" s="10">
        <v>8</v>
      </c>
      <c r="K1128" s="10">
        <v>8</v>
      </c>
    </row>
    <row r="1129" spans="1:11" ht="102.75" customHeight="1" x14ac:dyDescent="0.25">
      <c r="A1129" s="56"/>
      <c r="B1129" s="56"/>
      <c r="C1129" s="56"/>
      <c r="D1129" s="71"/>
      <c r="E1129" s="8" t="s">
        <v>1024</v>
      </c>
      <c r="F1129" s="9" t="s">
        <v>22</v>
      </c>
      <c r="G1129" s="10">
        <v>113464</v>
      </c>
      <c r="H1129" s="10" t="s">
        <v>165</v>
      </c>
      <c r="I1129" s="10" t="s">
        <v>165</v>
      </c>
      <c r="J1129" s="10" t="s">
        <v>165</v>
      </c>
      <c r="K1129" s="10" t="s">
        <v>165</v>
      </c>
    </row>
    <row r="1130" spans="1:11" ht="126" x14ac:dyDescent="0.25">
      <c r="A1130" s="56"/>
      <c r="B1130" s="56"/>
      <c r="C1130" s="56"/>
      <c r="D1130" s="71"/>
      <c r="E1130" s="8" t="s">
        <v>1025</v>
      </c>
      <c r="F1130" s="9" t="s">
        <v>22</v>
      </c>
      <c r="G1130" s="10">
        <v>1939</v>
      </c>
      <c r="H1130" s="10" t="s">
        <v>165</v>
      </c>
      <c r="I1130" s="10" t="s">
        <v>165</v>
      </c>
      <c r="J1130" s="10" t="s">
        <v>165</v>
      </c>
      <c r="K1130" s="10" t="s">
        <v>165</v>
      </c>
    </row>
    <row r="1131" spans="1:11" ht="78.75" x14ac:dyDescent="0.25">
      <c r="A1131" s="56"/>
      <c r="B1131" s="56"/>
      <c r="C1131" s="56"/>
      <c r="D1131" s="71"/>
      <c r="E1131" s="8" t="s">
        <v>299</v>
      </c>
      <c r="F1131" s="9" t="s">
        <v>22</v>
      </c>
      <c r="G1131" s="10">
        <v>1939</v>
      </c>
      <c r="H1131" s="10" t="s">
        <v>165</v>
      </c>
      <c r="I1131" s="10" t="s">
        <v>165</v>
      </c>
      <c r="J1131" s="10" t="s">
        <v>165</v>
      </c>
      <c r="K1131" s="10" t="s">
        <v>165</v>
      </c>
    </row>
    <row r="1132" spans="1:11" ht="94.5" x14ac:dyDescent="0.25">
      <c r="A1132" s="56"/>
      <c r="B1132" s="56"/>
      <c r="C1132" s="56"/>
      <c r="D1132" s="71"/>
      <c r="E1132" s="8" t="s">
        <v>300</v>
      </c>
      <c r="F1132" s="9" t="s">
        <v>22</v>
      </c>
      <c r="G1132" s="10">
        <v>5</v>
      </c>
      <c r="H1132" s="10" t="s">
        <v>165</v>
      </c>
      <c r="I1132" s="10" t="s">
        <v>165</v>
      </c>
      <c r="J1132" s="10" t="s">
        <v>165</v>
      </c>
      <c r="K1132" s="10" t="s">
        <v>165</v>
      </c>
    </row>
    <row r="1133" spans="1:11" ht="110.25" x14ac:dyDescent="0.25">
      <c r="A1133" s="56"/>
      <c r="B1133" s="56"/>
      <c r="C1133" s="56"/>
      <c r="D1133" s="71"/>
      <c r="E1133" s="8" t="s">
        <v>1026</v>
      </c>
      <c r="F1133" s="9" t="s">
        <v>22</v>
      </c>
      <c r="G1133" s="10">
        <v>12</v>
      </c>
      <c r="H1133" s="10" t="s">
        <v>165</v>
      </c>
      <c r="I1133" s="10" t="s">
        <v>165</v>
      </c>
      <c r="J1133" s="10" t="s">
        <v>165</v>
      </c>
      <c r="K1133" s="10" t="s">
        <v>165</v>
      </c>
    </row>
    <row r="1134" spans="1:11" ht="94.5" x14ac:dyDescent="0.25">
      <c r="A1134" s="56"/>
      <c r="B1134" s="56"/>
      <c r="C1134" s="56"/>
      <c r="D1134" s="71"/>
      <c r="E1134" s="8" t="s">
        <v>1027</v>
      </c>
      <c r="F1134" s="9" t="s">
        <v>22</v>
      </c>
      <c r="G1134" s="10">
        <v>5</v>
      </c>
      <c r="H1134" s="10">
        <v>4</v>
      </c>
      <c r="I1134" s="10">
        <v>4</v>
      </c>
      <c r="J1134" s="10">
        <v>4</v>
      </c>
      <c r="K1134" s="10">
        <v>4</v>
      </c>
    </row>
    <row r="1135" spans="1:11" ht="141.75" x14ac:dyDescent="0.25">
      <c r="A1135" s="56"/>
      <c r="B1135" s="56"/>
      <c r="C1135" s="56"/>
      <c r="D1135" s="71"/>
      <c r="E1135" s="8" t="s">
        <v>1028</v>
      </c>
      <c r="F1135" s="9" t="s">
        <v>22</v>
      </c>
      <c r="G1135" s="10">
        <v>1366</v>
      </c>
      <c r="H1135" s="10" t="s">
        <v>165</v>
      </c>
      <c r="I1135" s="10" t="s">
        <v>165</v>
      </c>
      <c r="J1135" s="10" t="s">
        <v>165</v>
      </c>
      <c r="K1135" s="10" t="s">
        <v>165</v>
      </c>
    </row>
    <row r="1136" spans="1:11" ht="94.5" x14ac:dyDescent="0.25">
      <c r="A1136" s="56"/>
      <c r="B1136" s="56"/>
      <c r="C1136" s="56"/>
      <c r="D1136" s="71"/>
      <c r="E1136" s="8" t="s">
        <v>1029</v>
      </c>
      <c r="F1136" s="9" t="s">
        <v>22</v>
      </c>
      <c r="G1136" s="10">
        <v>880</v>
      </c>
      <c r="H1136" s="10">
        <v>880</v>
      </c>
      <c r="I1136" s="10">
        <v>880</v>
      </c>
      <c r="J1136" s="10">
        <v>800</v>
      </c>
      <c r="K1136" s="10">
        <v>800</v>
      </c>
    </row>
    <row r="1137" spans="1:11" ht="78.75" x14ac:dyDescent="0.25">
      <c r="A1137" s="56"/>
      <c r="B1137" s="56"/>
      <c r="C1137" s="56"/>
      <c r="D1137" s="71"/>
      <c r="E1137" s="8" t="s">
        <v>1030</v>
      </c>
      <c r="F1137" s="9" t="s">
        <v>22</v>
      </c>
      <c r="G1137" s="10" t="s">
        <v>165</v>
      </c>
      <c r="H1137" s="10">
        <v>281541</v>
      </c>
      <c r="I1137" s="10">
        <v>281541</v>
      </c>
      <c r="J1137" s="10">
        <v>281541</v>
      </c>
      <c r="K1137" s="10">
        <v>281541</v>
      </c>
    </row>
    <row r="1138" spans="1:11" ht="94.5" x14ac:dyDescent="0.25">
      <c r="A1138" s="56"/>
      <c r="B1138" s="56"/>
      <c r="C1138" s="56"/>
      <c r="D1138" s="71"/>
      <c r="E1138" s="8" t="s">
        <v>1031</v>
      </c>
      <c r="F1138" s="9" t="s">
        <v>22</v>
      </c>
      <c r="G1138" s="10" t="s">
        <v>165</v>
      </c>
      <c r="H1138" s="10">
        <v>6029</v>
      </c>
      <c r="I1138" s="10">
        <v>6029</v>
      </c>
      <c r="J1138" s="10">
        <v>6029</v>
      </c>
      <c r="K1138" s="10">
        <v>6029</v>
      </c>
    </row>
    <row r="1139" spans="1:11" ht="78.75" x14ac:dyDescent="0.25">
      <c r="A1139" s="56"/>
      <c r="B1139" s="56"/>
      <c r="C1139" s="56"/>
      <c r="D1139" s="71"/>
      <c r="E1139" s="8" t="s">
        <v>1032</v>
      </c>
      <c r="F1139" s="9" t="s">
        <v>22</v>
      </c>
      <c r="G1139" s="10" t="s">
        <v>165</v>
      </c>
      <c r="H1139" s="10">
        <v>5071</v>
      </c>
      <c r="I1139" s="10">
        <v>5071</v>
      </c>
      <c r="J1139" s="10">
        <v>5071</v>
      </c>
      <c r="K1139" s="10">
        <v>5071</v>
      </c>
    </row>
    <row r="1140" spans="1:11" ht="94.5" x14ac:dyDescent="0.25">
      <c r="A1140" s="56"/>
      <c r="B1140" s="56"/>
      <c r="C1140" s="56"/>
      <c r="D1140" s="71"/>
      <c r="E1140" s="8" t="s">
        <v>1033</v>
      </c>
      <c r="F1140" s="9" t="s">
        <v>22</v>
      </c>
      <c r="G1140" s="10" t="s">
        <v>165</v>
      </c>
      <c r="H1140" s="10">
        <v>35</v>
      </c>
      <c r="I1140" s="10">
        <v>35</v>
      </c>
      <c r="J1140" s="10">
        <v>35</v>
      </c>
      <c r="K1140" s="10">
        <v>35</v>
      </c>
    </row>
    <row r="1141" spans="1:11" ht="110.25" x14ac:dyDescent="0.25">
      <c r="A1141" s="56"/>
      <c r="B1141" s="56"/>
      <c r="C1141" s="56"/>
      <c r="D1141" s="71"/>
      <c r="E1141" s="8" t="s">
        <v>1034</v>
      </c>
      <c r="F1141" s="9" t="s">
        <v>22</v>
      </c>
      <c r="G1141" s="10" t="s">
        <v>165</v>
      </c>
      <c r="H1141" s="10">
        <v>1</v>
      </c>
      <c r="I1141" s="10">
        <v>4</v>
      </c>
      <c r="J1141" s="10">
        <v>5</v>
      </c>
      <c r="K1141" s="10">
        <v>5</v>
      </c>
    </row>
    <row r="1142" spans="1:11" ht="94.5" x14ac:dyDescent="0.25">
      <c r="A1142" s="56"/>
      <c r="B1142" s="56"/>
      <c r="C1142" s="56"/>
      <c r="D1142" s="71"/>
      <c r="E1142" s="8" t="s">
        <v>1035</v>
      </c>
      <c r="F1142" s="9" t="s">
        <v>22</v>
      </c>
      <c r="G1142" s="10" t="s">
        <v>165</v>
      </c>
      <c r="H1142" s="10">
        <v>2</v>
      </c>
      <c r="I1142" s="10">
        <v>2</v>
      </c>
      <c r="J1142" s="10">
        <v>2</v>
      </c>
      <c r="K1142" s="10">
        <v>2</v>
      </c>
    </row>
    <row r="1143" spans="1:11" ht="94.5" x14ac:dyDescent="0.25">
      <c r="A1143" s="56"/>
      <c r="B1143" s="56"/>
      <c r="C1143" s="56"/>
      <c r="D1143" s="65"/>
      <c r="E1143" s="8" t="s">
        <v>1036</v>
      </c>
      <c r="F1143" s="9" t="s">
        <v>22</v>
      </c>
      <c r="G1143" s="10" t="s">
        <v>165</v>
      </c>
      <c r="H1143" s="10">
        <v>34</v>
      </c>
      <c r="I1143" s="10">
        <v>34</v>
      </c>
      <c r="J1143" s="10">
        <v>34</v>
      </c>
      <c r="K1143" s="10">
        <v>34</v>
      </c>
    </row>
    <row r="1144" spans="1:11" ht="63" x14ac:dyDescent="0.25">
      <c r="A1144" s="56"/>
      <c r="B1144" s="56"/>
      <c r="C1144" s="56"/>
      <c r="D1144" s="8" t="s">
        <v>242</v>
      </c>
      <c r="E1144" s="8" t="s">
        <v>16</v>
      </c>
      <c r="F1144" s="9" t="s">
        <v>109</v>
      </c>
      <c r="G1144" s="1">
        <f>101.708*4</f>
        <v>406.83199999999999</v>
      </c>
      <c r="H1144" s="1">
        <v>1017.64</v>
      </c>
      <c r="I1144" s="1">
        <v>806.93</v>
      </c>
      <c r="J1144" s="1">
        <v>687.3</v>
      </c>
      <c r="K1144" s="1">
        <v>698.73</v>
      </c>
    </row>
    <row r="1145" spans="1:11" ht="63" x14ac:dyDescent="0.25">
      <c r="A1145" s="56"/>
      <c r="B1145" s="56"/>
      <c r="C1145" s="56"/>
      <c r="D1145" s="55" t="s">
        <v>271</v>
      </c>
      <c r="E1145" s="8" t="s">
        <v>273</v>
      </c>
      <c r="F1145" s="9" t="s">
        <v>22</v>
      </c>
      <c r="G1145" s="10">
        <v>1926</v>
      </c>
      <c r="H1145" s="10" t="s">
        <v>165</v>
      </c>
      <c r="I1145" s="10" t="s">
        <v>165</v>
      </c>
      <c r="J1145" s="10" t="s">
        <v>165</v>
      </c>
      <c r="K1145" s="10" t="s">
        <v>165</v>
      </c>
    </row>
    <row r="1146" spans="1:11" ht="78.75" x14ac:dyDescent="0.25">
      <c r="A1146" s="56"/>
      <c r="B1146" s="56"/>
      <c r="C1146" s="56"/>
      <c r="D1146" s="56"/>
      <c r="E1146" s="8" t="s">
        <v>274</v>
      </c>
      <c r="F1146" s="9" t="s">
        <v>22</v>
      </c>
      <c r="G1146" s="10">
        <v>9</v>
      </c>
      <c r="H1146" s="10" t="s">
        <v>165</v>
      </c>
      <c r="I1146" s="10" t="s">
        <v>165</v>
      </c>
      <c r="J1146" s="10" t="s">
        <v>165</v>
      </c>
      <c r="K1146" s="10" t="s">
        <v>165</v>
      </c>
    </row>
    <row r="1147" spans="1:11" ht="63" x14ac:dyDescent="0.25">
      <c r="A1147" s="56"/>
      <c r="B1147" s="56"/>
      <c r="C1147" s="56"/>
      <c r="D1147" s="56"/>
      <c r="E1147" s="8" t="s">
        <v>1012</v>
      </c>
      <c r="F1147" s="9" t="s">
        <v>22</v>
      </c>
      <c r="G1147" s="10">
        <v>3</v>
      </c>
      <c r="H1147" s="10">
        <v>1</v>
      </c>
      <c r="I1147" s="10">
        <v>1</v>
      </c>
      <c r="J1147" s="10">
        <v>1</v>
      </c>
      <c r="K1147" s="10">
        <v>1</v>
      </c>
    </row>
    <row r="1148" spans="1:11" ht="63" x14ac:dyDescent="0.25">
      <c r="A1148" s="56"/>
      <c r="B1148" s="56"/>
      <c r="C1148" s="56"/>
      <c r="D1148" s="56"/>
      <c r="E1148" s="8" t="s">
        <v>295</v>
      </c>
      <c r="F1148" s="9" t="s">
        <v>22</v>
      </c>
      <c r="G1148" s="10">
        <v>1939</v>
      </c>
      <c r="H1148" s="10" t="s">
        <v>165</v>
      </c>
      <c r="I1148" s="10" t="s">
        <v>165</v>
      </c>
      <c r="J1148" s="10" t="s">
        <v>165</v>
      </c>
      <c r="K1148" s="10" t="s">
        <v>165</v>
      </c>
    </row>
    <row r="1149" spans="1:11" ht="94.5" x14ac:dyDescent="0.25">
      <c r="A1149" s="56"/>
      <c r="B1149" s="56"/>
      <c r="C1149" s="56"/>
      <c r="D1149" s="56"/>
      <c r="E1149" s="8" t="s">
        <v>296</v>
      </c>
      <c r="F1149" s="9" t="s">
        <v>22</v>
      </c>
      <c r="G1149" s="10">
        <v>1939</v>
      </c>
      <c r="H1149" s="10" t="s">
        <v>165</v>
      </c>
      <c r="I1149" s="10" t="s">
        <v>165</v>
      </c>
      <c r="J1149" s="10" t="s">
        <v>165</v>
      </c>
      <c r="K1149" s="10" t="s">
        <v>165</v>
      </c>
    </row>
    <row r="1150" spans="1:11" ht="63" x14ac:dyDescent="0.25">
      <c r="A1150" s="56"/>
      <c r="B1150" s="56"/>
      <c r="C1150" s="56"/>
      <c r="D1150" s="56"/>
      <c r="E1150" s="8" t="s">
        <v>297</v>
      </c>
      <c r="F1150" s="9" t="s">
        <v>22</v>
      </c>
      <c r="G1150" s="10">
        <v>1939</v>
      </c>
      <c r="H1150" s="10" t="s">
        <v>165</v>
      </c>
      <c r="I1150" s="10" t="s">
        <v>165</v>
      </c>
      <c r="J1150" s="10" t="s">
        <v>165</v>
      </c>
      <c r="K1150" s="10" t="s">
        <v>165</v>
      </c>
    </row>
    <row r="1151" spans="1:11" ht="78.75" x14ac:dyDescent="0.25">
      <c r="A1151" s="56"/>
      <c r="B1151" s="56"/>
      <c r="C1151" s="56"/>
      <c r="D1151" s="56"/>
      <c r="E1151" s="8" t="s">
        <v>298</v>
      </c>
      <c r="F1151" s="9" t="s">
        <v>22</v>
      </c>
      <c r="G1151" s="10">
        <v>12</v>
      </c>
      <c r="H1151" s="10" t="s">
        <v>165</v>
      </c>
      <c r="I1151" s="10" t="s">
        <v>165</v>
      </c>
      <c r="J1151" s="10" t="s">
        <v>165</v>
      </c>
      <c r="K1151" s="10" t="s">
        <v>165</v>
      </c>
    </row>
    <row r="1152" spans="1:11" ht="63" x14ac:dyDescent="0.25">
      <c r="A1152" s="56"/>
      <c r="B1152" s="56"/>
      <c r="C1152" s="56"/>
      <c r="D1152" s="56"/>
      <c r="E1152" s="8" t="s">
        <v>1013</v>
      </c>
      <c r="F1152" s="9" t="s">
        <v>22</v>
      </c>
      <c r="G1152" s="10">
        <v>5</v>
      </c>
      <c r="H1152" s="10">
        <v>4</v>
      </c>
      <c r="I1152" s="10">
        <v>4</v>
      </c>
      <c r="J1152" s="10">
        <v>4</v>
      </c>
      <c r="K1152" s="10">
        <v>4</v>
      </c>
    </row>
    <row r="1153" spans="1:11" ht="63" x14ac:dyDescent="0.25">
      <c r="A1153" s="56"/>
      <c r="B1153" s="56"/>
      <c r="C1153" s="56"/>
      <c r="D1153" s="56"/>
      <c r="E1153" s="8" t="s">
        <v>1014</v>
      </c>
      <c r="F1153" s="9" t="s">
        <v>22</v>
      </c>
      <c r="G1153" s="10" t="s">
        <v>165</v>
      </c>
      <c r="H1153" s="10">
        <v>8</v>
      </c>
      <c r="I1153" s="10">
        <v>8</v>
      </c>
      <c r="J1153" s="10">
        <v>8</v>
      </c>
      <c r="K1153" s="10">
        <v>8</v>
      </c>
    </row>
    <row r="1154" spans="1:11" ht="110.25" x14ac:dyDescent="0.25">
      <c r="A1154" s="56"/>
      <c r="B1154" s="56"/>
      <c r="C1154" s="56"/>
      <c r="D1154" s="56"/>
      <c r="E1154" s="8" t="s">
        <v>311</v>
      </c>
      <c r="F1154" s="9" t="s">
        <v>22</v>
      </c>
      <c r="G1154" s="10">
        <v>1366</v>
      </c>
      <c r="H1154" s="10" t="s">
        <v>165</v>
      </c>
      <c r="I1154" s="10" t="s">
        <v>165</v>
      </c>
      <c r="J1154" s="10" t="s">
        <v>165</v>
      </c>
      <c r="K1154" s="10" t="s">
        <v>165</v>
      </c>
    </row>
    <row r="1155" spans="1:11" ht="63" x14ac:dyDescent="0.25">
      <c r="A1155" s="56"/>
      <c r="B1155" s="56"/>
      <c r="C1155" s="56"/>
      <c r="D1155" s="56"/>
      <c r="E1155" s="8" t="s">
        <v>1011</v>
      </c>
      <c r="F1155" s="9" t="s">
        <v>22</v>
      </c>
      <c r="G1155" s="10">
        <v>880</v>
      </c>
      <c r="H1155" s="10">
        <v>880</v>
      </c>
      <c r="I1155" s="10">
        <v>880</v>
      </c>
      <c r="J1155" s="10">
        <v>880</v>
      </c>
      <c r="K1155" s="10">
        <v>880</v>
      </c>
    </row>
    <row r="1156" spans="1:11" ht="47.25" x14ac:dyDescent="0.25">
      <c r="A1156" s="56"/>
      <c r="B1156" s="56"/>
      <c r="C1156" s="56"/>
      <c r="D1156" s="56"/>
      <c r="E1156" s="8" t="s">
        <v>1037</v>
      </c>
      <c r="F1156" s="9" t="s">
        <v>22</v>
      </c>
      <c r="G1156" s="10" t="s">
        <v>165</v>
      </c>
      <c r="H1156" s="10">
        <v>281541</v>
      </c>
      <c r="I1156" s="10">
        <v>281541</v>
      </c>
      <c r="J1156" s="10">
        <v>281541</v>
      </c>
      <c r="K1156" s="10">
        <v>281541</v>
      </c>
    </row>
    <row r="1157" spans="1:11" ht="63" x14ac:dyDescent="0.25">
      <c r="A1157" s="56"/>
      <c r="B1157" s="56"/>
      <c r="C1157" s="56"/>
      <c r="D1157" s="56"/>
      <c r="E1157" s="8" t="s">
        <v>1038</v>
      </c>
      <c r="F1157" s="9" t="s">
        <v>22</v>
      </c>
      <c r="G1157" s="10" t="s">
        <v>165</v>
      </c>
      <c r="H1157" s="10">
        <v>6029</v>
      </c>
      <c r="I1157" s="10">
        <v>6029</v>
      </c>
      <c r="J1157" s="10">
        <v>6029</v>
      </c>
      <c r="K1157" s="10">
        <v>6029</v>
      </c>
    </row>
    <row r="1158" spans="1:11" ht="47.25" x14ac:dyDescent="0.25">
      <c r="A1158" s="56"/>
      <c r="B1158" s="56"/>
      <c r="C1158" s="56"/>
      <c r="D1158" s="56"/>
      <c r="E1158" s="8" t="s">
        <v>1039</v>
      </c>
      <c r="F1158" s="9" t="s">
        <v>22</v>
      </c>
      <c r="G1158" s="10" t="s">
        <v>165</v>
      </c>
      <c r="H1158" s="10">
        <v>5071</v>
      </c>
      <c r="I1158" s="10">
        <v>5071</v>
      </c>
      <c r="J1158" s="10">
        <v>5071</v>
      </c>
      <c r="K1158" s="10">
        <v>5071</v>
      </c>
    </row>
    <row r="1159" spans="1:11" ht="63" x14ac:dyDescent="0.25">
      <c r="A1159" s="56"/>
      <c r="B1159" s="56"/>
      <c r="C1159" s="56"/>
      <c r="D1159" s="56"/>
      <c r="E1159" s="8" t="s">
        <v>1040</v>
      </c>
      <c r="F1159" s="9" t="s">
        <v>22</v>
      </c>
      <c r="G1159" s="10" t="s">
        <v>165</v>
      </c>
      <c r="H1159" s="10">
        <v>35</v>
      </c>
      <c r="I1159" s="10">
        <v>35</v>
      </c>
      <c r="J1159" s="10">
        <v>35</v>
      </c>
      <c r="K1159" s="10">
        <v>35</v>
      </c>
    </row>
    <row r="1160" spans="1:11" ht="78.75" x14ac:dyDescent="0.25">
      <c r="A1160" s="56"/>
      <c r="B1160" s="56"/>
      <c r="C1160" s="56"/>
      <c r="D1160" s="56"/>
      <c r="E1160" s="8" t="s">
        <v>1041</v>
      </c>
      <c r="F1160" s="9" t="s">
        <v>22</v>
      </c>
      <c r="G1160" s="10" t="s">
        <v>165</v>
      </c>
      <c r="H1160" s="10">
        <v>1</v>
      </c>
      <c r="I1160" s="10">
        <v>4</v>
      </c>
      <c r="J1160" s="10">
        <v>5</v>
      </c>
      <c r="K1160" s="10">
        <v>5</v>
      </c>
    </row>
    <row r="1161" spans="1:11" ht="63" x14ac:dyDescent="0.25">
      <c r="A1161" s="56"/>
      <c r="B1161" s="56"/>
      <c r="C1161" s="56"/>
      <c r="D1161" s="56"/>
      <c r="E1161" s="8" t="s">
        <v>1042</v>
      </c>
      <c r="F1161" s="9" t="s">
        <v>22</v>
      </c>
      <c r="G1161" s="10" t="s">
        <v>165</v>
      </c>
      <c r="H1161" s="10">
        <v>2</v>
      </c>
      <c r="I1161" s="10">
        <v>2</v>
      </c>
      <c r="J1161" s="10">
        <v>2</v>
      </c>
      <c r="K1161" s="10">
        <v>2</v>
      </c>
    </row>
    <row r="1162" spans="1:11" ht="78.75" x14ac:dyDescent="0.25">
      <c r="A1162" s="56"/>
      <c r="B1162" s="56"/>
      <c r="C1162" s="56"/>
      <c r="D1162" s="57"/>
      <c r="E1162" s="8" t="s">
        <v>1043</v>
      </c>
      <c r="F1162" s="9" t="s">
        <v>22</v>
      </c>
      <c r="G1162" s="10" t="s">
        <v>165</v>
      </c>
      <c r="H1162" s="10">
        <v>34</v>
      </c>
      <c r="I1162" s="10">
        <v>34</v>
      </c>
      <c r="J1162" s="10">
        <v>34</v>
      </c>
      <c r="K1162" s="10">
        <v>34</v>
      </c>
    </row>
    <row r="1163" spans="1:11" ht="63" x14ac:dyDescent="0.25">
      <c r="A1163" s="56"/>
      <c r="B1163" s="56"/>
      <c r="C1163" s="56"/>
      <c r="D1163" s="8" t="s">
        <v>242</v>
      </c>
      <c r="E1163" s="8" t="s">
        <v>16</v>
      </c>
      <c r="F1163" s="9" t="s">
        <v>109</v>
      </c>
      <c r="G1163" s="1">
        <f>101.708*3</f>
        <v>305.12400000000002</v>
      </c>
      <c r="H1163" s="1">
        <v>1017.64</v>
      </c>
      <c r="I1163" s="1">
        <v>806.93</v>
      </c>
      <c r="J1163" s="1">
        <v>687.3</v>
      </c>
      <c r="K1163" s="1">
        <v>698.73</v>
      </c>
    </row>
    <row r="1164" spans="1:11" ht="47.25" x14ac:dyDescent="0.25">
      <c r="A1164" s="56"/>
      <c r="B1164" s="56"/>
      <c r="C1164" s="56"/>
      <c r="D1164" s="64" t="s">
        <v>271</v>
      </c>
      <c r="E1164" s="8" t="s">
        <v>275</v>
      </c>
      <c r="F1164" s="9" t="s">
        <v>22</v>
      </c>
      <c r="G1164" s="10">
        <v>5083</v>
      </c>
      <c r="H1164" s="10" t="s">
        <v>165</v>
      </c>
      <c r="I1164" s="10" t="s">
        <v>165</v>
      </c>
      <c r="J1164" s="10" t="s">
        <v>165</v>
      </c>
      <c r="K1164" s="10" t="s">
        <v>165</v>
      </c>
    </row>
    <row r="1165" spans="1:11" ht="63" x14ac:dyDescent="0.25">
      <c r="A1165" s="56"/>
      <c r="B1165" s="56"/>
      <c r="C1165" s="56"/>
      <c r="D1165" s="71"/>
      <c r="E1165" s="8" t="s">
        <v>276</v>
      </c>
      <c r="F1165" s="9" t="s">
        <v>22</v>
      </c>
      <c r="G1165" s="10">
        <v>21</v>
      </c>
      <c r="H1165" s="10" t="s">
        <v>165</v>
      </c>
      <c r="I1165" s="10" t="s">
        <v>165</v>
      </c>
      <c r="J1165" s="10" t="s">
        <v>165</v>
      </c>
      <c r="K1165" s="10" t="s">
        <v>165</v>
      </c>
    </row>
    <row r="1166" spans="1:11" ht="63" x14ac:dyDescent="0.25">
      <c r="A1166" s="56"/>
      <c r="B1166" s="56"/>
      <c r="C1166" s="56"/>
      <c r="D1166" s="71"/>
      <c r="E1166" s="8" t="s">
        <v>1048</v>
      </c>
      <c r="F1166" s="9" t="s">
        <v>22</v>
      </c>
      <c r="G1166" s="10">
        <v>3</v>
      </c>
      <c r="H1166" s="10">
        <v>1</v>
      </c>
      <c r="I1166" s="10">
        <v>1</v>
      </c>
      <c r="J1166" s="10">
        <v>1</v>
      </c>
      <c r="K1166" s="10">
        <v>1</v>
      </c>
    </row>
    <row r="1167" spans="1:11" ht="63" x14ac:dyDescent="0.25">
      <c r="A1167" s="56"/>
      <c r="B1167" s="56"/>
      <c r="C1167" s="56"/>
      <c r="D1167" s="71"/>
      <c r="E1167" s="8" t="s">
        <v>282</v>
      </c>
      <c r="F1167" s="9" t="s">
        <v>22</v>
      </c>
      <c r="G1167" s="10">
        <v>5155</v>
      </c>
      <c r="H1167" s="10" t="s">
        <v>165</v>
      </c>
      <c r="I1167" s="10" t="s">
        <v>165</v>
      </c>
      <c r="J1167" s="10" t="s">
        <v>165</v>
      </c>
      <c r="K1167" s="10" t="s">
        <v>165</v>
      </c>
    </row>
    <row r="1168" spans="1:11" ht="78.75" x14ac:dyDescent="0.25">
      <c r="A1168" s="56"/>
      <c r="B1168" s="56"/>
      <c r="C1168" s="56"/>
      <c r="D1168" s="71"/>
      <c r="E1168" s="8" t="s">
        <v>283</v>
      </c>
      <c r="F1168" s="9" t="s">
        <v>22</v>
      </c>
      <c r="G1168" s="10">
        <v>5155</v>
      </c>
      <c r="H1168" s="10" t="s">
        <v>165</v>
      </c>
      <c r="I1168" s="10" t="s">
        <v>165</v>
      </c>
      <c r="J1168" s="10" t="s">
        <v>165</v>
      </c>
      <c r="K1168" s="10" t="s">
        <v>165</v>
      </c>
    </row>
    <row r="1169" spans="1:11" ht="63" x14ac:dyDescent="0.25">
      <c r="A1169" s="56"/>
      <c r="B1169" s="56"/>
      <c r="C1169" s="56"/>
      <c r="D1169" s="71"/>
      <c r="E1169" s="8" t="s">
        <v>284</v>
      </c>
      <c r="F1169" s="9" t="s">
        <v>22</v>
      </c>
      <c r="G1169" s="10">
        <v>5155</v>
      </c>
      <c r="H1169" s="10" t="s">
        <v>165</v>
      </c>
      <c r="I1169" s="10" t="s">
        <v>165</v>
      </c>
      <c r="J1169" s="10" t="s">
        <v>165</v>
      </c>
      <c r="K1169" s="10" t="s">
        <v>165</v>
      </c>
    </row>
    <row r="1170" spans="1:11" ht="78.75" x14ac:dyDescent="0.25">
      <c r="A1170" s="56"/>
      <c r="B1170" s="56"/>
      <c r="C1170" s="56"/>
      <c r="D1170" s="71"/>
      <c r="E1170" s="8" t="s">
        <v>285</v>
      </c>
      <c r="F1170" s="9" t="s">
        <v>22</v>
      </c>
      <c r="G1170" s="10">
        <v>18</v>
      </c>
      <c r="H1170" s="10" t="s">
        <v>165</v>
      </c>
      <c r="I1170" s="10" t="s">
        <v>165</v>
      </c>
      <c r="J1170" s="10" t="s">
        <v>165</v>
      </c>
      <c r="K1170" s="10" t="s">
        <v>165</v>
      </c>
    </row>
    <row r="1171" spans="1:11" ht="63" x14ac:dyDescent="0.25">
      <c r="A1171" s="56"/>
      <c r="B1171" s="56"/>
      <c r="C1171" s="56"/>
      <c r="D1171" s="71"/>
      <c r="E1171" s="8" t="s">
        <v>1049</v>
      </c>
      <c r="F1171" s="9" t="s">
        <v>22</v>
      </c>
      <c r="G1171" s="10">
        <v>8</v>
      </c>
      <c r="H1171" s="10">
        <v>8</v>
      </c>
      <c r="I1171" s="10">
        <v>8</v>
      </c>
      <c r="J1171" s="10">
        <v>8</v>
      </c>
      <c r="K1171" s="10">
        <v>8</v>
      </c>
    </row>
    <row r="1172" spans="1:11" ht="63" x14ac:dyDescent="0.25">
      <c r="A1172" s="56"/>
      <c r="B1172" s="56"/>
      <c r="C1172" s="56"/>
      <c r="D1172" s="71"/>
      <c r="E1172" s="8" t="s">
        <v>286</v>
      </c>
      <c r="F1172" s="9" t="s">
        <v>22</v>
      </c>
      <c r="G1172" s="10">
        <v>5155</v>
      </c>
      <c r="H1172" s="10" t="s">
        <v>165</v>
      </c>
      <c r="I1172" s="10" t="s">
        <v>165</v>
      </c>
      <c r="J1172" s="10" t="s">
        <v>165</v>
      </c>
      <c r="K1172" s="10" t="s">
        <v>165</v>
      </c>
    </row>
    <row r="1173" spans="1:11" ht="78.75" x14ac:dyDescent="0.25">
      <c r="A1173" s="56"/>
      <c r="B1173" s="56"/>
      <c r="C1173" s="56"/>
      <c r="D1173" s="71"/>
      <c r="E1173" s="8" t="s">
        <v>287</v>
      </c>
      <c r="F1173" s="9" t="s">
        <v>22</v>
      </c>
      <c r="G1173" s="10">
        <v>5155</v>
      </c>
      <c r="H1173" s="10" t="s">
        <v>165</v>
      </c>
      <c r="I1173" s="10" t="s">
        <v>165</v>
      </c>
      <c r="J1173" s="10" t="s">
        <v>165</v>
      </c>
      <c r="K1173" s="10" t="s">
        <v>165</v>
      </c>
    </row>
    <row r="1174" spans="1:11" ht="63" x14ac:dyDescent="0.25">
      <c r="A1174" s="56"/>
      <c r="B1174" s="56"/>
      <c r="C1174" s="56"/>
      <c r="D1174" s="71"/>
      <c r="E1174" s="8" t="s">
        <v>288</v>
      </c>
      <c r="F1174" s="9" t="s">
        <v>22</v>
      </c>
      <c r="G1174" s="10">
        <v>5155</v>
      </c>
      <c r="H1174" s="10" t="s">
        <v>165</v>
      </c>
      <c r="I1174" s="10" t="s">
        <v>165</v>
      </c>
      <c r="J1174" s="10" t="s">
        <v>165</v>
      </c>
      <c r="K1174" s="10" t="s">
        <v>165</v>
      </c>
    </row>
    <row r="1175" spans="1:11" ht="78.75" x14ac:dyDescent="0.25">
      <c r="A1175" s="56"/>
      <c r="B1175" s="56"/>
      <c r="C1175" s="56"/>
      <c r="D1175" s="71"/>
      <c r="E1175" s="8" t="s">
        <v>289</v>
      </c>
      <c r="F1175" s="9" t="s">
        <v>22</v>
      </c>
      <c r="G1175" s="10">
        <v>8</v>
      </c>
      <c r="H1175" s="10" t="s">
        <v>165</v>
      </c>
      <c r="I1175" s="10" t="s">
        <v>165</v>
      </c>
      <c r="J1175" s="10" t="s">
        <v>165</v>
      </c>
      <c r="K1175" s="10" t="s">
        <v>165</v>
      </c>
    </row>
    <row r="1176" spans="1:11" ht="63" x14ac:dyDescent="0.25">
      <c r="A1176" s="56"/>
      <c r="B1176" s="56"/>
      <c r="C1176" s="56"/>
      <c r="D1176" s="71"/>
      <c r="E1176" s="8" t="s">
        <v>301</v>
      </c>
      <c r="F1176" s="9" t="s">
        <v>22</v>
      </c>
      <c r="G1176" s="10">
        <v>1939</v>
      </c>
      <c r="H1176" s="10" t="s">
        <v>165</v>
      </c>
      <c r="I1176" s="10" t="s">
        <v>165</v>
      </c>
      <c r="J1176" s="10" t="s">
        <v>165</v>
      </c>
      <c r="K1176" s="10" t="s">
        <v>165</v>
      </c>
    </row>
    <row r="1177" spans="1:11" ht="78.75" x14ac:dyDescent="0.25">
      <c r="A1177" s="56"/>
      <c r="B1177" s="56"/>
      <c r="C1177" s="56"/>
      <c r="D1177" s="71"/>
      <c r="E1177" s="8" t="s">
        <v>302</v>
      </c>
      <c r="F1177" s="9" t="s">
        <v>22</v>
      </c>
      <c r="G1177" s="10">
        <v>1939</v>
      </c>
      <c r="H1177" s="10" t="s">
        <v>165</v>
      </c>
      <c r="I1177" s="10" t="s">
        <v>165</v>
      </c>
      <c r="J1177" s="10" t="s">
        <v>165</v>
      </c>
      <c r="K1177" s="10" t="s">
        <v>165</v>
      </c>
    </row>
    <row r="1178" spans="1:11" ht="63" x14ac:dyDescent="0.25">
      <c r="A1178" s="56"/>
      <c r="B1178" s="56"/>
      <c r="C1178" s="56"/>
      <c r="D1178" s="71"/>
      <c r="E1178" s="8" t="s">
        <v>303</v>
      </c>
      <c r="F1178" s="9" t="s">
        <v>22</v>
      </c>
      <c r="G1178" s="10">
        <v>1939</v>
      </c>
      <c r="H1178" s="10" t="s">
        <v>165</v>
      </c>
      <c r="I1178" s="10" t="s">
        <v>165</v>
      </c>
      <c r="J1178" s="10" t="s">
        <v>165</v>
      </c>
      <c r="K1178" s="10" t="s">
        <v>165</v>
      </c>
    </row>
    <row r="1179" spans="1:11" ht="78.75" x14ac:dyDescent="0.25">
      <c r="A1179" s="56"/>
      <c r="B1179" s="56"/>
      <c r="C1179" s="56"/>
      <c r="D1179" s="71"/>
      <c r="E1179" s="8" t="s">
        <v>304</v>
      </c>
      <c r="F1179" s="9" t="s">
        <v>22</v>
      </c>
      <c r="G1179" s="10">
        <v>12</v>
      </c>
      <c r="H1179" s="10" t="s">
        <v>165</v>
      </c>
      <c r="I1179" s="10" t="s">
        <v>165</v>
      </c>
      <c r="J1179" s="10" t="s">
        <v>165</v>
      </c>
      <c r="K1179" s="10" t="s">
        <v>165</v>
      </c>
    </row>
    <row r="1180" spans="1:11" ht="47.25" x14ac:dyDescent="0.25">
      <c r="A1180" s="56"/>
      <c r="B1180" s="56"/>
      <c r="C1180" s="56"/>
      <c r="D1180" s="71"/>
      <c r="E1180" s="8" t="s">
        <v>1050</v>
      </c>
      <c r="F1180" s="9" t="s">
        <v>22</v>
      </c>
      <c r="G1180" s="10">
        <v>5</v>
      </c>
      <c r="H1180" s="10">
        <v>4</v>
      </c>
      <c r="I1180" s="10">
        <v>4</v>
      </c>
      <c r="J1180" s="10">
        <v>4</v>
      </c>
      <c r="K1180" s="10">
        <v>4</v>
      </c>
    </row>
    <row r="1181" spans="1:11" ht="94.5" x14ac:dyDescent="0.25">
      <c r="A1181" s="56"/>
      <c r="B1181" s="56"/>
      <c r="C1181" s="56"/>
      <c r="D1181" s="71"/>
      <c r="E1181" s="8" t="s">
        <v>312</v>
      </c>
      <c r="F1181" s="9" t="s">
        <v>22</v>
      </c>
      <c r="G1181" s="10">
        <v>1366</v>
      </c>
      <c r="H1181" s="10" t="s">
        <v>165</v>
      </c>
      <c r="I1181" s="10" t="s">
        <v>165</v>
      </c>
      <c r="J1181" s="10" t="s">
        <v>165</v>
      </c>
      <c r="K1181" s="10" t="s">
        <v>165</v>
      </c>
    </row>
    <row r="1182" spans="1:11" ht="63" x14ac:dyDescent="0.25">
      <c r="A1182" s="56"/>
      <c r="B1182" s="56"/>
      <c r="C1182" s="56"/>
      <c r="D1182" s="71"/>
      <c r="E1182" s="8" t="s">
        <v>1047</v>
      </c>
      <c r="F1182" s="9" t="s">
        <v>22</v>
      </c>
      <c r="G1182" s="10">
        <v>880</v>
      </c>
      <c r="H1182" s="10">
        <v>880</v>
      </c>
      <c r="I1182" s="10">
        <v>880</v>
      </c>
      <c r="J1182" s="10">
        <v>880</v>
      </c>
      <c r="K1182" s="10">
        <v>880</v>
      </c>
    </row>
    <row r="1183" spans="1:11" ht="31.5" x14ac:dyDescent="0.25">
      <c r="A1183" s="56"/>
      <c r="B1183" s="56"/>
      <c r="C1183" s="56"/>
      <c r="D1183" s="71"/>
      <c r="E1183" s="8" t="s">
        <v>259</v>
      </c>
      <c r="F1183" s="9" t="s">
        <v>22</v>
      </c>
      <c r="G1183" s="10" t="s">
        <v>165</v>
      </c>
      <c r="H1183" s="10">
        <v>34</v>
      </c>
      <c r="I1183" s="10">
        <v>34</v>
      </c>
      <c r="J1183" s="10">
        <v>34</v>
      </c>
      <c r="K1183" s="10">
        <v>34</v>
      </c>
    </row>
    <row r="1184" spans="1:11" ht="47.25" x14ac:dyDescent="0.25">
      <c r="A1184" s="56"/>
      <c r="B1184" s="56"/>
      <c r="C1184" s="56"/>
      <c r="D1184" s="71"/>
      <c r="E1184" s="8" t="s">
        <v>1037</v>
      </c>
      <c r="F1184" s="9" t="s">
        <v>22</v>
      </c>
      <c r="G1184" s="10" t="s">
        <v>165</v>
      </c>
      <c r="H1184" s="10">
        <v>32067</v>
      </c>
      <c r="I1184" s="10">
        <v>32067</v>
      </c>
      <c r="J1184" s="10">
        <v>32067</v>
      </c>
      <c r="K1184" s="10">
        <v>32067</v>
      </c>
    </row>
    <row r="1185" spans="1:12" ht="63" x14ac:dyDescent="0.25">
      <c r="A1185" s="56"/>
      <c r="B1185" s="56"/>
      <c r="C1185" s="56"/>
      <c r="D1185" s="71"/>
      <c r="E1185" s="8" t="s">
        <v>1044</v>
      </c>
      <c r="F1185" s="9" t="s">
        <v>22</v>
      </c>
      <c r="G1185" s="10" t="s">
        <v>165</v>
      </c>
      <c r="H1185" s="10">
        <v>25</v>
      </c>
      <c r="I1185" s="10">
        <v>25</v>
      </c>
      <c r="J1185" s="10">
        <v>25</v>
      </c>
      <c r="K1185" s="10">
        <v>25</v>
      </c>
    </row>
    <row r="1186" spans="1:12" ht="47.25" x14ac:dyDescent="0.25">
      <c r="A1186" s="56"/>
      <c r="B1186" s="56"/>
      <c r="C1186" s="56"/>
      <c r="D1186" s="71"/>
      <c r="E1186" s="8" t="s">
        <v>1045</v>
      </c>
      <c r="F1186" s="9" t="s">
        <v>22</v>
      </c>
      <c r="G1186" s="10" t="s">
        <v>165</v>
      </c>
      <c r="H1186" s="10">
        <v>3267</v>
      </c>
      <c r="I1186" s="10">
        <v>3267</v>
      </c>
      <c r="J1186" s="10">
        <v>3267</v>
      </c>
      <c r="K1186" s="10">
        <v>3267</v>
      </c>
    </row>
    <row r="1187" spans="1:12" ht="63" x14ac:dyDescent="0.25">
      <c r="A1187" s="56"/>
      <c r="B1187" s="56"/>
      <c r="C1187" s="56"/>
      <c r="D1187" s="71"/>
      <c r="E1187" s="8" t="s">
        <v>1046</v>
      </c>
      <c r="F1187" s="9" t="s">
        <v>22</v>
      </c>
      <c r="G1187" s="10" t="s">
        <v>165</v>
      </c>
      <c r="H1187" s="10">
        <v>17</v>
      </c>
      <c r="I1187" s="10">
        <v>17</v>
      </c>
      <c r="J1187" s="10">
        <v>17</v>
      </c>
      <c r="K1187" s="10">
        <v>17</v>
      </c>
    </row>
    <row r="1188" spans="1:12" ht="63" x14ac:dyDescent="0.25">
      <c r="A1188" s="56"/>
      <c r="B1188" s="56"/>
      <c r="C1188" s="56"/>
      <c r="D1188" s="65"/>
      <c r="E1188" s="8" t="s">
        <v>1055</v>
      </c>
      <c r="F1188" s="9" t="s">
        <v>22</v>
      </c>
      <c r="G1188" s="10" t="s">
        <v>165</v>
      </c>
      <c r="H1188" s="10">
        <v>2</v>
      </c>
      <c r="I1188" s="10">
        <v>2</v>
      </c>
      <c r="J1188" s="10">
        <v>2</v>
      </c>
      <c r="K1188" s="10">
        <v>2</v>
      </c>
    </row>
    <row r="1189" spans="1:12" ht="63" x14ac:dyDescent="0.25">
      <c r="A1189" s="56"/>
      <c r="B1189" s="56"/>
      <c r="C1189" s="56"/>
      <c r="D1189" s="8" t="s">
        <v>242</v>
      </c>
      <c r="E1189" s="8" t="s">
        <v>16</v>
      </c>
      <c r="F1189" s="9" t="s">
        <v>109</v>
      </c>
      <c r="G1189" s="1">
        <f>101.708*5</f>
        <v>508.53999999999996</v>
      </c>
      <c r="H1189" s="1">
        <v>1017.64</v>
      </c>
      <c r="I1189" s="1">
        <v>806.93</v>
      </c>
      <c r="J1189" s="1">
        <v>687.3</v>
      </c>
      <c r="K1189" s="1">
        <v>698.73</v>
      </c>
      <c r="L1189" s="3"/>
    </row>
    <row r="1190" spans="1:12" ht="48.75" customHeight="1" x14ac:dyDescent="0.25">
      <c r="A1190" s="56"/>
      <c r="B1190" s="56"/>
      <c r="C1190" s="56"/>
      <c r="D1190" s="64" t="s">
        <v>271</v>
      </c>
      <c r="E1190" s="8" t="s">
        <v>277</v>
      </c>
      <c r="F1190" s="9" t="s">
        <v>22</v>
      </c>
      <c r="G1190" s="10">
        <v>7488</v>
      </c>
      <c r="H1190" s="10" t="s">
        <v>165</v>
      </c>
      <c r="I1190" s="10" t="s">
        <v>165</v>
      </c>
      <c r="J1190" s="10" t="s">
        <v>165</v>
      </c>
      <c r="K1190" s="10" t="s">
        <v>165</v>
      </c>
    </row>
    <row r="1191" spans="1:12" ht="63.75" customHeight="1" x14ac:dyDescent="0.25">
      <c r="A1191" s="56"/>
      <c r="B1191" s="56"/>
      <c r="C1191" s="56"/>
      <c r="D1191" s="71"/>
      <c r="E1191" s="8" t="s">
        <v>278</v>
      </c>
      <c r="F1191" s="9" t="s">
        <v>22</v>
      </c>
      <c r="G1191" s="10">
        <v>22</v>
      </c>
      <c r="H1191" s="10" t="s">
        <v>165</v>
      </c>
      <c r="I1191" s="10" t="s">
        <v>165</v>
      </c>
      <c r="J1191" s="10" t="s">
        <v>165</v>
      </c>
      <c r="K1191" s="10" t="s">
        <v>165</v>
      </c>
    </row>
    <row r="1192" spans="1:12" ht="31.5" x14ac:dyDescent="0.25">
      <c r="A1192" s="56"/>
      <c r="B1192" s="56"/>
      <c r="C1192" s="56"/>
      <c r="D1192" s="71"/>
      <c r="E1192" s="8" t="s">
        <v>1008</v>
      </c>
      <c r="F1192" s="9" t="s">
        <v>22</v>
      </c>
      <c r="G1192" s="10">
        <v>3</v>
      </c>
      <c r="H1192" s="10">
        <v>1</v>
      </c>
      <c r="I1192" s="10">
        <v>1</v>
      </c>
      <c r="J1192" s="10">
        <v>1</v>
      </c>
      <c r="K1192" s="10">
        <v>1</v>
      </c>
    </row>
    <row r="1193" spans="1:12" ht="63" x14ac:dyDescent="0.25">
      <c r="A1193" s="56"/>
      <c r="B1193" s="56"/>
      <c r="C1193" s="56"/>
      <c r="D1193" s="71"/>
      <c r="E1193" s="8" t="s">
        <v>305</v>
      </c>
      <c r="F1193" s="9" t="s">
        <v>22</v>
      </c>
      <c r="G1193" s="10">
        <v>1939</v>
      </c>
      <c r="H1193" s="10" t="s">
        <v>165</v>
      </c>
      <c r="I1193" s="10" t="s">
        <v>165</v>
      </c>
      <c r="J1193" s="10" t="s">
        <v>165</v>
      </c>
      <c r="K1193" s="10" t="s">
        <v>165</v>
      </c>
    </row>
    <row r="1194" spans="1:12" ht="78.75" x14ac:dyDescent="0.25">
      <c r="A1194" s="56"/>
      <c r="B1194" s="56"/>
      <c r="C1194" s="56"/>
      <c r="D1194" s="71"/>
      <c r="E1194" s="8" t="s">
        <v>306</v>
      </c>
      <c r="F1194" s="9" t="s">
        <v>22</v>
      </c>
      <c r="G1194" s="10">
        <v>1939</v>
      </c>
      <c r="H1194" s="10" t="s">
        <v>165</v>
      </c>
      <c r="I1194" s="10" t="s">
        <v>165</v>
      </c>
      <c r="J1194" s="10" t="s">
        <v>165</v>
      </c>
      <c r="K1194" s="10" t="s">
        <v>165</v>
      </c>
    </row>
    <row r="1195" spans="1:12" ht="63" x14ac:dyDescent="0.25">
      <c r="A1195" s="56"/>
      <c r="B1195" s="56"/>
      <c r="C1195" s="56"/>
      <c r="D1195" s="71"/>
      <c r="E1195" s="8" t="s">
        <v>307</v>
      </c>
      <c r="F1195" s="9" t="s">
        <v>22</v>
      </c>
      <c r="G1195" s="10">
        <v>1939</v>
      </c>
      <c r="H1195" s="10" t="s">
        <v>165</v>
      </c>
      <c r="I1195" s="10" t="s">
        <v>165</v>
      </c>
      <c r="J1195" s="10" t="s">
        <v>165</v>
      </c>
      <c r="K1195" s="10" t="s">
        <v>165</v>
      </c>
    </row>
    <row r="1196" spans="1:12" ht="78.75" x14ac:dyDescent="0.25">
      <c r="A1196" s="56"/>
      <c r="B1196" s="56"/>
      <c r="C1196" s="56"/>
      <c r="D1196" s="71"/>
      <c r="E1196" s="8" t="s">
        <v>308</v>
      </c>
      <c r="F1196" s="9" t="s">
        <v>22</v>
      </c>
      <c r="G1196" s="10">
        <v>12</v>
      </c>
      <c r="H1196" s="10" t="s">
        <v>165</v>
      </c>
      <c r="I1196" s="10" t="s">
        <v>165</v>
      </c>
      <c r="J1196" s="10" t="s">
        <v>165</v>
      </c>
      <c r="K1196" s="10" t="s">
        <v>165</v>
      </c>
    </row>
    <row r="1197" spans="1:12" ht="47.25" x14ac:dyDescent="0.25">
      <c r="A1197" s="56"/>
      <c r="B1197" s="56"/>
      <c r="C1197" s="56"/>
      <c r="D1197" s="71"/>
      <c r="E1197" s="8" t="s">
        <v>1059</v>
      </c>
      <c r="F1197" s="9" t="s">
        <v>22</v>
      </c>
      <c r="G1197" s="10">
        <v>5</v>
      </c>
      <c r="H1197" s="10">
        <v>3</v>
      </c>
      <c r="I1197" s="10">
        <v>3</v>
      </c>
      <c r="J1197" s="10">
        <v>3</v>
      </c>
      <c r="K1197" s="10">
        <v>3</v>
      </c>
    </row>
    <row r="1198" spans="1:12" ht="47.25" x14ac:dyDescent="0.25">
      <c r="A1198" s="56"/>
      <c r="B1198" s="56"/>
      <c r="C1198" s="56"/>
      <c r="D1198" s="71"/>
      <c r="E1198" s="8" t="s">
        <v>1057</v>
      </c>
      <c r="F1198" s="9" t="s">
        <v>22</v>
      </c>
      <c r="G1198" s="10">
        <v>38</v>
      </c>
      <c r="H1198" s="10">
        <v>34</v>
      </c>
      <c r="I1198" s="10">
        <v>34</v>
      </c>
      <c r="J1198" s="10">
        <v>34</v>
      </c>
      <c r="K1198" s="10">
        <v>34</v>
      </c>
    </row>
    <row r="1199" spans="1:12" ht="94.5" x14ac:dyDescent="0.25">
      <c r="A1199" s="56"/>
      <c r="B1199" s="56"/>
      <c r="C1199" s="56"/>
      <c r="D1199" s="71"/>
      <c r="E1199" s="8" t="s">
        <v>313</v>
      </c>
      <c r="F1199" s="9" t="s">
        <v>22</v>
      </c>
      <c r="G1199" s="10">
        <v>1366</v>
      </c>
      <c r="H1199" s="10" t="s">
        <v>165</v>
      </c>
      <c r="I1199" s="10" t="s">
        <v>165</v>
      </c>
      <c r="J1199" s="10" t="s">
        <v>165</v>
      </c>
      <c r="K1199" s="10" t="s">
        <v>165</v>
      </c>
    </row>
    <row r="1200" spans="1:12" ht="63" x14ac:dyDescent="0.25">
      <c r="A1200" s="56"/>
      <c r="B1200" s="56"/>
      <c r="C1200" s="56"/>
      <c r="D1200" s="71"/>
      <c r="E1200" s="8" t="s">
        <v>1058</v>
      </c>
      <c r="F1200" s="9" t="s">
        <v>22</v>
      </c>
      <c r="G1200" s="10">
        <v>880</v>
      </c>
      <c r="H1200" s="10">
        <v>803</v>
      </c>
      <c r="I1200" s="10">
        <v>803</v>
      </c>
      <c r="J1200" s="10">
        <v>803</v>
      </c>
      <c r="K1200" s="10">
        <v>803</v>
      </c>
    </row>
    <row r="1201" spans="1:11" ht="31.5" x14ac:dyDescent="0.25">
      <c r="A1201" s="56"/>
      <c r="B1201" s="56"/>
      <c r="C1201" s="56"/>
      <c r="D1201" s="71"/>
      <c r="E1201" s="8" t="s">
        <v>1051</v>
      </c>
      <c r="F1201" s="9" t="s">
        <v>22</v>
      </c>
      <c r="G1201" s="10" t="s">
        <v>165</v>
      </c>
      <c r="H1201" s="10">
        <v>281459</v>
      </c>
      <c r="I1201" s="10">
        <v>281459</v>
      </c>
      <c r="J1201" s="10">
        <v>281459</v>
      </c>
      <c r="K1201" s="10">
        <v>281459</v>
      </c>
    </row>
    <row r="1202" spans="1:11" ht="47.25" x14ac:dyDescent="0.25">
      <c r="A1202" s="56"/>
      <c r="B1202" s="56"/>
      <c r="C1202" s="56"/>
      <c r="D1202" s="71"/>
      <c r="E1202" s="8" t="s">
        <v>1060</v>
      </c>
      <c r="F1202" s="9" t="s">
        <v>22</v>
      </c>
      <c r="G1202" s="10" t="s">
        <v>165</v>
      </c>
      <c r="H1202" s="10">
        <v>6</v>
      </c>
      <c r="I1202" s="10">
        <v>6</v>
      </c>
      <c r="J1202" s="10">
        <v>6</v>
      </c>
      <c r="K1202" s="10">
        <v>6</v>
      </c>
    </row>
    <row r="1203" spans="1:11" ht="31.5" x14ac:dyDescent="0.25">
      <c r="A1203" s="56"/>
      <c r="B1203" s="56"/>
      <c r="C1203" s="56"/>
      <c r="D1203" s="71"/>
      <c r="E1203" s="8" t="s">
        <v>1052</v>
      </c>
      <c r="F1203" s="9" t="s">
        <v>22</v>
      </c>
      <c r="G1203" s="10" t="s">
        <v>165</v>
      </c>
      <c r="H1203" s="10">
        <v>4989</v>
      </c>
      <c r="I1203" s="10">
        <v>4989</v>
      </c>
      <c r="J1203" s="10">
        <v>4989</v>
      </c>
      <c r="K1203" s="10">
        <v>4989</v>
      </c>
    </row>
    <row r="1204" spans="1:11" ht="47.25" x14ac:dyDescent="0.25">
      <c r="A1204" s="56"/>
      <c r="B1204" s="56"/>
      <c r="C1204" s="56"/>
      <c r="D1204" s="71"/>
      <c r="E1204" s="8" t="s">
        <v>1053</v>
      </c>
      <c r="F1204" s="9" t="s">
        <v>22</v>
      </c>
      <c r="G1204" s="10" t="s">
        <v>165</v>
      </c>
      <c r="H1204" s="10">
        <v>20</v>
      </c>
      <c r="I1204" s="10">
        <v>20</v>
      </c>
      <c r="J1204" s="10">
        <v>20</v>
      </c>
      <c r="K1204" s="10">
        <v>20</v>
      </c>
    </row>
    <row r="1205" spans="1:11" ht="63" x14ac:dyDescent="0.25">
      <c r="A1205" s="56"/>
      <c r="B1205" s="56"/>
      <c r="C1205" s="56"/>
      <c r="D1205" s="71"/>
      <c r="E1205" s="8" t="s">
        <v>1056</v>
      </c>
      <c r="F1205" s="9" t="s">
        <v>22</v>
      </c>
      <c r="G1205" s="10" t="s">
        <v>165</v>
      </c>
      <c r="H1205" s="10">
        <v>1</v>
      </c>
      <c r="I1205" s="10">
        <v>4</v>
      </c>
      <c r="J1205" s="10">
        <v>5</v>
      </c>
      <c r="K1205" s="10">
        <v>5</v>
      </c>
    </row>
    <row r="1206" spans="1:11" ht="47.25" x14ac:dyDescent="0.25">
      <c r="A1206" s="56"/>
      <c r="B1206" s="56"/>
      <c r="C1206" s="56"/>
      <c r="D1206" s="65"/>
      <c r="E1206" s="8" t="s">
        <v>1054</v>
      </c>
      <c r="F1206" s="9" t="s">
        <v>22</v>
      </c>
      <c r="G1206" s="10" t="s">
        <v>165</v>
      </c>
      <c r="H1206" s="10">
        <v>2</v>
      </c>
      <c r="I1206" s="10">
        <v>2</v>
      </c>
      <c r="J1206" s="10">
        <v>2</v>
      </c>
      <c r="K1206" s="10">
        <v>2</v>
      </c>
    </row>
    <row r="1207" spans="1:11" ht="63" x14ac:dyDescent="0.25">
      <c r="A1207" s="56"/>
      <c r="B1207" s="56"/>
      <c r="C1207" s="56"/>
      <c r="D1207" s="8" t="s">
        <v>242</v>
      </c>
      <c r="E1207" s="8" t="s">
        <v>16</v>
      </c>
      <c r="F1207" s="9" t="s">
        <v>109</v>
      </c>
      <c r="G1207" s="1">
        <f>101.708*4</f>
        <v>406.83199999999999</v>
      </c>
      <c r="H1207" s="1">
        <v>1017.64</v>
      </c>
      <c r="I1207" s="1">
        <v>806.93</v>
      </c>
      <c r="J1207" s="1">
        <v>687.3</v>
      </c>
      <c r="K1207" s="1">
        <v>698.73</v>
      </c>
    </row>
    <row r="1208" spans="1:11" ht="47.25" x14ac:dyDescent="0.25">
      <c r="A1208" s="56"/>
      <c r="B1208" s="56"/>
      <c r="C1208" s="56"/>
      <c r="D1208" s="64" t="s">
        <v>271</v>
      </c>
      <c r="E1208" s="8" t="s">
        <v>279</v>
      </c>
      <c r="F1208" s="9" t="s">
        <v>22</v>
      </c>
      <c r="G1208" s="10">
        <v>7488</v>
      </c>
      <c r="H1208" s="10" t="s">
        <v>165</v>
      </c>
      <c r="I1208" s="10" t="s">
        <v>165</v>
      </c>
      <c r="J1208" s="10" t="s">
        <v>165</v>
      </c>
      <c r="K1208" s="10" t="s">
        <v>165</v>
      </c>
    </row>
    <row r="1209" spans="1:11" ht="63" x14ac:dyDescent="0.25">
      <c r="A1209" s="56"/>
      <c r="B1209" s="56"/>
      <c r="C1209" s="56"/>
      <c r="D1209" s="71"/>
      <c r="E1209" s="8" t="s">
        <v>280</v>
      </c>
      <c r="F1209" s="9" t="s">
        <v>22</v>
      </c>
      <c r="G1209" s="10">
        <v>803</v>
      </c>
      <c r="H1209" s="10" t="s">
        <v>165</v>
      </c>
      <c r="I1209" s="10" t="s">
        <v>165</v>
      </c>
      <c r="J1209" s="10" t="s">
        <v>165</v>
      </c>
      <c r="K1209" s="10" t="s">
        <v>165</v>
      </c>
    </row>
    <row r="1210" spans="1:11" ht="47.25" x14ac:dyDescent="0.25">
      <c r="A1210" s="56"/>
      <c r="B1210" s="56"/>
      <c r="C1210" s="56"/>
      <c r="D1210" s="71"/>
      <c r="E1210" s="8" t="s">
        <v>1065</v>
      </c>
      <c r="F1210" s="9" t="s">
        <v>22</v>
      </c>
      <c r="G1210" s="10">
        <v>3</v>
      </c>
      <c r="H1210" s="10">
        <v>1</v>
      </c>
      <c r="I1210" s="10">
        <v>1</v>
      </c>
      <c r="J1210" s="10">
        <v>1</v>
      </c>
      <c r="K1210" s="10">
        <v>1</v>
      </c>
    </row>
    <row r="1211" spans="1:11" ht="63" x14ac:dyDescent="0.25">
      <c r="A1211" s="56"/>
      <c r="B1211" s="56"/>
      <c r="C1211" s="56"/>
      <c r="D1211" s="71"/>
      <c r="E1211" s="8" t="s">
        <v>290</v>
      </c>
      <c r="F1211" s="9" t="s">
        <v>22</v>
      </c>
      <c r="G1211" s="10">
        <v>5155</v>
      </c>
      <c r="H1211" s="10" t="s">
        <v>165</v>
      </c>
      <c r="I1211" s="10" t="s">
        <v>165</v>
      </c>
      <c r="J1211" s="10" t="s">
        <v>165</v>
      </c>
      <c r="K1211" s="10" t="s">
        <v>165</v>
      </c>
    </row>
    <row r="1212" spans="1:11" ht="78.75" x14ac:dyDescent="0.25">
      <c r="A1212" s="56"/>
      <c r="B1212" s="56"/>
      <c r="C1212" s="56"/>
      <c r="D1212" s="71"/>
      <c r="E1212" s="8" t="s">
        <v>291</v>
      </c>
      <c r="F1212" s="9" t="s">
        <v>22</v>
      </c>
      <c r="G1212" s="10">
        <v>630</v>
      </c>
      <c r="H1212" s="10" t="s">
        <v>165</v>
      </c>
      <c r="I1212" s="10" t="s">
        <v>165</v>
      </c>
      <c r="J1212" s="10" t="s">
        <v>165</v>
      </c>
      <c r="K1212" s="10" t="s">
        <v>165</v>
      </c>
    </row>
    <row r="1213" spans="1:11" ht="63" x14ac:dyDescent="0.25">
      <c r="A1213" s="56"/>
      <c r="B1213" s="56"/>
      <c r="C1213" s="56"/>
      <c r="D1213" s="71"/>
      <c r="E1213" s="8" t="s">
        <v>292</v>
      </c>
      <c r="F1213" s="9" t="s">
        <v>22</v>
      </c>
      <c r="G1213" s="10">
        <v>5155</v>
      </c>
      <c r="H1213" s="10" t="s">
        <v>165</v>
      </c>
      <c r="I1213" s="10" t="s">
        <v>165</v>
      </c>
      <c r="J1213" s="10" t="s">
        <v>165</v>
      </c>
      <c r="K1213" s="10" t="s">
        <v>165</v>
      </c>
    </row>
    <row r="1214" spans="1:11" ht="78.75" x14ac:dyDescent="0.25">
      <c r="A1214" s="56"/>
      <c r="B1214" s="56"/>
      <c r="C1214" s="56"/>
      <c r="D1214" s="71"/>
      <c r="E1214" s="8" t="s">
        <v>293</v>
      </c>
      <c r="F1214" s="9" t="s">
        <v>22</v>
      </c>
      <c r="G1214" s="10">
        <v>18</v>
      </c>
      <c r="H1214" s="10" t="s">
        <v>165</v>
      </c>
      <c r="I1214" s="10" t="s">
        <v>165</v>
      </c>
      <c r="J1214" s="10" t="s">
        <v>165</v>
      </c>
      <c r="K1214" s="10" t="s">
        <v>165</v>
      </c>
    </row>
    <row r="1215" spans="1:11" ht="47.25" x14ac:dyDescent="0.25">
      <c r="A1215" s="56"/>
      <c r="B1215" s="56"/>
      <c r="C1215" s="56"/>
      <c r="D1215" s="71"/>
      <c r="E1215" s="8" t="s">
        <v>1066</v>
      </c>
      <c r="F1215" s="9" t="s">
        <v>22</v>
      </c>
      <c r="G1215" s="10">
        <v>8</v>
      </c>
      <c r="H1215" s="10">
        <v>8</v>
      </c>
      <c r="I1215" s="10">
        <v>8</v>
      </c>
      <c r="J1215" s="10">
        <v>8</v>
      </c>
      <c r="K1215" s="10">
        <v>8</v>
      </c>
    </row>
    <row r="1216" spans="1:11" ht="63" x14ac:dyDescent="0.25">
      <c r="A1216" s="56"/>
      <c r="B1216" s="56"/>
      <c r="C1216" s="56"/>
      <c r="D1216" s="71"/>
      <c r="E1216" s="8" t="s">
        <v>309</v>
      </c>
      <c r="F1216" s="9" t="s">
        <v>22</v>
      </c>
      <c r="G1216" s="10">
        <v>1939</v>
      </c>
      <c r="H1216" s="10" t="s">
        <v>165</v>
      </c>
      <c r="I1216" s="10" t="s">
        <v>165</v>
      </c>
      <c r="J1216" s="10" t="s">
        <v>165</v>
      </c>
      <c r="K1216" s="10" t="s">
        <v>165</v>
      </c>
    </row>
    <row r="1217" spans="1:11" ht="94.5" x14ac:dyDescent="0.25">
      <c r="A1217" s="56"/>
      <c r="B1217" s="56"/>
      <c r="C1217" s="56"/>
      <c r="D1217" s="71"/>
      <c r="E1217" s="8" t="s">
        <v>314</v>
      </c>
      <c r="F1217" s="9" t="s">
        <v>22</v>
      </c>
      <c r="G1217" s="10">
        <v>1366</v>
      </c>
      <c r="H1217" s="10" t="s">
        <v>165</v>
      </c>
      <c r="I1217" s="10" t="s">
        <v>165</v>
      </c>
      <c r="J1217" s="10" t="s">
        <v>165</v>
      </c>
      <c r="K1217" s="10" t="s">
        <v>165</v>
      </c>
    </row>
    <row r="1218" spans="1:11" ht="63" x14ac:dyDescent="0.25">
      <c r="A1218" s="56"/>
      <c r="B1218" s="56"/>
      <c r="C1218" s="56"/>
      <c r="D1218" s="71"/>
      <c r="E1218" s="8" t="s">
        <v>1064</v>
      </c>
      <c r="F1218" s="9" t="s">
        <v>22</v>
      </c>
      <c r="G1218" s="10">
        <v>880</v>
      </c>
      <c r="H1218" s="10">
        <v>866</v>
      </c>
      <c r="I1218" s="10">
        <v>866</v>
      </c>
      <c r="J1218" s="10">
        <v>866</v>
      </c>
      <c r="K1218" s="10">
        <v>866</v>
      </c>
    </row>
    <row r="1219" spans="1:11" ht="63" x14ac:dyDescent="0.25">
      <c r="A1219" s="56"/>
      <c r="B1219" s="56"/>
      <c r="C1219" s="56"/>
      <c r="D1219" s="71"/>
      <c r="E1219" s="8" t="s">
        <v>1061</v>
      </c>
      <c r="F1219" s="9" t="s">
        <v>22</v>
      </c>
      <c r="G1219" s="10" t="s">
        <v>165</v>
      </c>
      <c r="H1219" s="10">
        <v>6241</v>
      </c>
      <c r="I1219" s="10">
        <v>6241</v>
      </c>
      <c r="J1219" s="10">
        <v>6241</v>
      </c>
      <c r="K1219" s="10">
        <v>6241</v>
      </c>
    </row>
    <row r="1220" spans="1:11" ht="78.75" x14ac:dyDescent="0.25">
      <c r="A1220" s="56"/>
      <c r="B1220" s="56"/>
      <c r="C1220" s="56"/>
      <c r="D1220" s="71"/>
      <c r="E1220" s="8" t="s">
        <v>1067</v>
      </c>
      <c r="F1220" s="9" t="s">
        <v>22</v>
      </c>
      <c r="G1220" s="10" t="s">
        <v>165</v>
      </c>
      <c r="H1220" s="10">
        <v>3</v>
      </c>
      <c r="I1220" s="10">
        <v>3</v>
      </c>
      <c r="J1220" s="10">
        <v>3</v>
      </c>
      <c r="K1220" s="10">
        <v>3</v>
      </c>
    </row>
    <row r="1221" spans="1:11" ht="63" x14ac:dyDescent="0.25">
      <c r="A1221" s="56"/>
      <c r="B1221" s="56"/>
      <c r="C1221" s="56"/>
      <c r="D1221" s="71"/>
      <c r="E1221" s="8" t="s">
        <v>1062</v>
      </c>
      <c r="F1221" s="9" t="s">
        <v>22</v>
      </c>
      <c r="G1221" s="10" t="s">
        <v>165</v>
      </c>
      <c r="H1221" s="10">
        <v>5071</v>
      </c>
      <c r="I1221" s="10">
        <v>5071</v>
      </c>
      <c r="J1221" s="10">
        <v>5071</v>
      </c>
      <c r="K1221" s="10">
        <v>5071</v>
      </c>
    </row>
    <row r="1222" spans="1:11" ht="78.75" x14ac:dyDescent="0.25">
      <c r="A1222" s="56"/>
      <c r="B1222" s="56"/>
      <c r="C1222" s="56"/>
      <c r="D1222" s="71"/>
      <c r="E1222" s="8" t="s">
        <v>1075</v>
      </c>
      <c r="F1222" s="9" t="s">
        <v>22</v>
      </c>
      <c r="G1222" s="10" t="s">
        <v>165</v>
      </c>
      <c r="H1222" s="10">
        <v>4</v>
      </c>
      <c r="I1222" s="10">
        <v>4</v>
      </c>
      <c r="J1222" s="10">
        <v>4</v>
      </c>
      <c r="K1222" s="10">
        <v>4</v>
      </c>
    </row>
    <row r="1223" spans="1:11" ht="78.75" x14ac:dyDescent="0.25">
      <c r="A1223" s="56"/>
      <c r="B1223" s="56"/>
      <c r="C1223" s="56"/>
      <c r="D1223" s="65"/>
      <c r="E1223" s="8" t="s">
        <v>1063</v>
      </c>
      <c r="F1223" s="9" t="s">
        <v>22</v>
      </c>
      <c r="G1223" s="10" t="s">
        <v>165</v>
      </c>
      <c r="H1223" s="10">
        <v>2</v>
      </c>
      <c r="I1223" s="10">
        <v>2</v>
      </c>
      <c r="J1223" s="10">
        <v>2</v>
      </c>
      <c r="K1223" s="10">
        <v>2</v>
      </c>
    </row>
    <row r="1224" spans="1:11" ht="63" x14ac:dyDescent="0.25">
      <c r="A1224" s="56"/>
      <c r="B1224" s="56"/>
      <c r="C1224" s="56"/>
      <c r="D1224" s="8" t="s">
        <v>242</v>
      </c>
      <c r="E1224" s="8" t="s">
        <v>16</v>
      </c>
      <c r="F1224" s="9" t="s">
        <v>109</v>
      </c>
      <c r="G1224" s="1">
        <f>101.708*4</f>
        <v>406.83199999999999</v>
      </c>
      <c r="H1224" s="1">
        <v>1017.64</v>
      </c>
      <c r="I1224" s="1">
        <v>806.93</v>
      </c>
      <c r="J1224" s="1">
        <v>687.3</v>
      </c>
      <c r="K1224" s="1">
        <v>698.73</v>
      </c>
    </row>
    <row r="1225" spans="1:11" ht="47.25" x14ac:dyDescent="0.25">
      <c r="A1225" s="56"/>
      <c r="B1225" s="56"/>
      <c r="C1225" s="56"/>
      <c r="D1225" s="64" t="s">
        <v>271</v>
      </c>
      <c r="E1225" s="8" t="s">
        <v>1069</v>
      </c>
      <c r="F1225" s="9" t="s">
        <v>22</v>
      </c>
      <c r="G1225" s="10" t="s">
        <v>165</v>
      </c>
      <c r="H1225" s="10" t="s">
        <v>1068</v>
      </c>
      <c r="I1225" s="10" t="s">
        <v>1068</v>
      </c>
      <c r="J1225" s="10" t="s">
        <v>1068</v>
      </c>
      <c r="K1225" s="10" t="s">
        <v>1068</v>
      </c>
    </row>
    <row r="1226" spans="1:11" ht="63" x14ac:dyDescent="0.25">
      <c r="A1226" s="56"/>
      <c r="B1226" s="56"/>
      <c r="C1226" s="56"/>
      <c r="D1226" s="65"/>
      <c r="E1226" s="8" t="s">
        <v>1070</v>
      </c>
      <c r="F1226" s="9" t="s">
        <v>22</v>
      </c>
      <c r="G1226" s="9" t="s">
        <v>165</v>
      </c>
      <c r="H1226" s="10" t="s">
        <v>8</v>
      </c>
      <c r="I1226" s="10" t="s">
        <v>8</v>
      </c>
      <c r="J1226" s="10" t="s">
        <v>8</v>
      </c>
      <c r="K1226" s="10" t="s">
        <v>8</v>
      </c>
    </row>
    <row r="1227" spans="1:11" ht="63" x14ac:dyDescent="0.25">
      <c r="A1227" s="56"/>
      <c r="B1227" s="56"/>
      <c r="C1227" s="56"/>
      <c r="D1227" s="8" t="s">
        <v>242</v>
      </c>
      <c r="E1227" s="8" t="s">
        <v>16</v>
      </c>
      <c r="F1227" s="9" t="s">
        <v>109</v>
      </c>
      <c r="G1227" s="1">
        <v>0</v>
      </c>
      <c r="H1227" s="1">
        <v>1017.64</v>
      </c>
      <c r="I1227" s="1">
        <v>806.93</v>
      </c>
      <c r="J1227" s="1">
        <v>687.3</v>
      </c>
      <c r="K1227" s="1">
        <v>698.73</v>
      </c>
    </row>
    <row r="1228" spans="1:11" ht="78.75" x14ac:dyDescent="0.25">
      <c r="A1228" s="56"/>
      <c r="B1228" s="56"/>
      <c r="C1228" s="56"/>
      <c r="D1228" s="64" t="s">
        <v>271</v>
      </c>
      <c r="E1228" s="8" t="s">
        <v>281</v>
      </c>
      <c r="F1228" s="9" t="s">
        <v>22</v>
      </c>
      <c r="G1228" s="10">
        <v>5</v>
      </c>
      <c r="H1228" s="10" t="s">
        <v>165</v>
      </c>
      <c r="I1228" s="10" t="s">
        <v>165</v>
      </c>
      <c r="J1228" s="10" t="s">
        <v>165</v>
      </c>
      <c r="K1228" s="10" t="s">
        <v>165</v>
      </c>
    </row>
    <row r="1229" spans="1:11" ht="63" x14ac:dyDescent="0.25">
      <c r="A1229" s="56"/>
      <c r="B1229" s="56"/>
      <c r="C1229" s="56"/>
      <c r="D1229" s="71"/>
      <c r="E1229" s="8" t="s">
        <v>1081</v>
      </c>
      <c r="F1229" s="9" t="s">
        <v>22</v>
      </c>
      <c r="G1229" s="10">
        <v>3</v>
      </c>
      <c r="H1229" s="10">
        <v>1</v>
      </c>
      <c r="I1229" s="10">
        <v>1</v>
      </c>
      <c r="J1229" s="10">
        <v>1</v>
      </c>
      <c r="K1229" s="10">
        <v>1</v>
      </c>
    </row>
    <row r="1230" spans="1:11" ht="94.5" x14ac:dyDescent="0.25">
      <c r="A1230" s="56"/>
      <c r="B1230" s="56"/>
      <c r="C1230" s="56"/>
      <c r="D1230" s="71"/>
      <c r="E1230" s="8" t="s">
        <v>294</v>
      </c>
      <c r="F1230" s="9" t="s">
        <v>22</v>
      </c>
      <c r="G1230" s="10">
        <v>5</v>
      </c>
      <c r="H1230" s="10" t="s">
        <v>165</v>
      </c>
      <c r="I1230" s="10" t="s">
        <v>165</v>
      </c>
      <c r="J1230" s="10" t="s">
        <v>165</v>
      </c>
      <c r="K1230" s="10" t="s">
        <v>165</v>
      </c>
    </row>
    <row r="1231" spans="1:11" ht="78.75" x14ac:dyDescent="0.25">
      <c r="A1231" s="56"/>
      <c r="B1231" s="56"/>
      <c r="C1231" s="56"/>
      <c r="D1231" s="71"/>
      <c r="E1231" s="8" t="s">
        <v>1082</v>
      </c>
      <c r="F1231" s="9" t="s">
        <v>22</v>
      </c>
      <c r="G1231" s="10">
        <v>8</v>
      </c>
      <c r="H1231" s="10">
        <v>8</v>
      </c>
      <c r="I1231" s="10">
        <v>8</v>
      </c>
      <c r="J1231" s="10">
        <v>8</v>
      </c>
      <c r="K1231" s="10">
        <v>8</v>
      </c>
    </row>
    <row r="1232" spans="1:11" ht="78.75" x14ac:dyDescent="0.25">
      <c r="A1232" s="56"/>
      <c r="B1232" s="56"/>
      <c r="C1232" s="56"/>
      <c r="D1232" s="71"/>
      <c r="E1232" s="8" t="s">
        <v>1073</v>
      </c>
      <c r="F1232" s="9" t="s">
        <v>22</v>
      </c>
      <c r="G1232" s="10">
        <v>38</v>
      </c>
      <c r="H1232" s="10">
        <v>34</v>
      </c>
      <c r="I1232" s="10">
        <v>34</v>
      </c>
      <c r="J1232" s="10">
        <v>34</v>
      </c>
      <c r="K1232" s="10">
        <v>34</v>
      </c>
    </row>
    <row r="1233" spans="1:11" ht="78.75" x14ac:dyDescent="0.25">
      <c r="A1233" s="56"/>
      <c r="B1233" s="56"/>
      <c r="C1233" s="56"/>
      <c r="D1233" s="71"/>
      <c r="E1233" s="8" t="s">
        <v>310</v>
      </c>
      <c r="F1233" s="9" t="s">
        <v>22</v>
      </c>
      <c r="G1233" s="10">
        <v>5</v>
      </c>
      <c r="H1233" s="10" t="s">
        <v>165</v>
      </c>
      <c r="I1233" s="10" t="s">
        <v>165</v>
      </c>
      <c r="J1233" s="10" t="s">
        <v>165</v>
      </c>
      <c r="K1233" s="10" t="s">
        <v>165</v>
      </c>
    </row>
    <row r="1234" spans="1:11" ht="126" x14ac:dyDescent="0.25">
      <c r="A1234" s="56"/>
      <c r="B1234" s="56"/>
      <c r="C1234" s="56"/>
      <c r="D1234" s="71"/>
      <c r="E1234" s="8" t="s">
        <v>315</v>
      </c>
      <c r="F1234" s="9" t="s">
        <v>22</v>
      </c>
      <c r="G1234" s="10">
        <v>1366</v>
      </c>
      <c r="H1234" s="10" t="s">
        <v>165</v>
      </c>
      <c r="I1234" s="10" t="s">
        <v>165</v>
      </c>
      <c r="J1234" s="10" t="s">
        <v>165</v>
      </c>
      <c r="K1234" s="10" t="s">
        <v>165</v>
      </c>
    </row>
    <row r="1235" spans="1:11" ht="78.75" x14ac:dyDescent="0.25">
      <c r="A1235" s="56"/>
      <c r="B1235" s="56"/>
      <c r="C1235" s="56"/>
      <c r="D1235" s="71"/>
      <c r="E1235" s="8" t="s">
        <v>1080</v>
      </c>
      <c r="F1235" s="9" t="s">
        <v>22</v>
      </c>
      <c r="G1235" s="10">
        <v>880</v>
      </c>
      <c r="H1235" s="10">
        <v>880</v>
      </c>
      <c r="I1235" s="10">
        <v>880</v>
      </c>
      <c r="J1235" s="10">
        <v>880</v>
      </c>
      <c r="K1235" s="10">
        <v>880</v>
      </c>
    </row>
    <row r="1236" spans="1:11" ht="63" x14ac:dyDescent="0.25">
      <c r="A1236" s="56"/>
      <c r="B1236" s="56"/>
      <c r="C1236" s="56"/>
      <c r="D1236" s="71"/>
      <c r="E1236" s="8" t="s">
        <v>1077</v>
      </c>
      <c r="F1236" s="9" t="s">
        <v>22</v>
      </c>
      <c r="G1236" s="10" t="s">
        <v>165</v>
      </c>
      <c r="H1236" s="10">
        <v>281541</v>
      </c>
      <c r="I1236" s="10">
        <v>281541</v>
      </c>
      <c r="J1236" s="10">
        <v>281541</v>
      </c>
      <c r="K1236" s="10">
        <v>281541</v>
      </c>
    </row>
    <row r="1237" spans="1:11" ht="78.75" x14ac:dyDescent="0.25">
      <c r="A1237" s="56"/>
      <c r="B1237" s="56"/>
      <c r="C1237" s="56"/>
      <c r="D1237" s="71"/>
      <c r="E1237" s="8" t="s">
        <v>1076</v>
      </c>
      <c r="F1237" s="9" t="s">
        <v>22</v>
      </c>
      <c r="G1237" s="10" t="s">
        <v>165</v>
      </c>
      <c r="H1237" s="10">
        <v>6029</v>
      </c>
      <c r="I1237" s="10">
        <v>6029</v>
      </c>
      <c r="J1237" s="10">
        <v>6029</v>
      </c>
      <c r="K1237" s="10">
        <v>6029</v>
      </c>
    </row>
    <row r="1238" spans="1:11" ht="78.75" x14ac:dyDescent="0.25">
      <c r="A1238" s="56"/>
      <c r="B1238" s="56"/>
      <c r="C1238" s="56"/>
      <c r="D1238" s="71"/>
      <c r="E1238" s="8" t="s">
        <v>1078</v>
      </c>
      <c r="F1238" s="9" t="s">
        <v>22</v>
      </c>
      <c r="G1238" s="10" t="s">
        <v>165</v>
      </c>
      <c r="H1238" s="10">
        <v>35</v>
      </c>
      <c r="I1238" s="10">
        <v>35</v>
      </c>
      <c r="J1238" s="10">
        <v>35</v>
      </c>
      <c r="K1238" s="10">
        <v>35</v>
      </c>
    </row>
    <row r="1239" spans="1:11" ht="78.75" x14ac:dyDescent="0.25">
      <c r="A1239" s="56"/>
      <c r="B1239" s="56"/>
      <c r="C1239" s="56"/>
      <c r="D1239" s="71"/>
      <c r="E1239" s="8" t="s">
        <v>1079</v>
      </c>
      <c r="F1239" s="9" t="s">
        <v>22</v>
      </c>
      <c r="G1239" s="10" t="s">
        <v>165</v>
      </c>
      <c r="H1239" s="10">
        <v>1</v>
      </c>
      <c r="I1239" s="10">
        <v>4</v>
      </c>
      <c r="J1239" s="10">
        <v>5</v>
      </c>
      <c r="K1239" s="10">
        <v>5</v>
      </c>
    </row>
    <row r="1240" spans="1:11" ht="78.75" x14ac:dyDescent="0.25">
      <c r="A1240" s="56"/>
      <c r="B1240" s="56"/>
      <c r="C1240" s="56"/>
      <c r="D1240" s="71"/>
      <c r="E1240" s="8" t="s">
        <v>1071</v>
      </c>
      <c r="F1240" s="9" t="s">
        <v>22</v>
      </c>
      <c r="G1240" s="10" t="s">
        <v>165</v>
      </c>
      <c r="H1240" s="10">
        <v>4</v>
      </c>
      <c r="I1240" s="10">
        <v>4</v>
      </c>
      <c r="J1240" s="10">
        <v>4</v>
      </c>
      <c r="K1240" s="10">
        <v>4</v>
      </c>
    </row>
    <row r="1241" spans="1:11" ht="63" x14ac:dyDescent="0.25">
      <c r="A1241" s="56"/>
      <c r="B1241" s="56"/>
      <c r="C1241" s="56"/>
      <c r="D1241" s="71"/>
      <c r="E1241" s="8" t="s">
        <v>1072</v>
      </c>
      <c r="F1241" s="9" t="s">
        <v>22</v>
      </c>
      <c r="G1241" s="10" t="s">
        <v>165</v>
      </c>
      <c r="H1241" s="10">
        <v>5071</v>
      </c>
      <c r="I1241" s="10">
        <v>5071</v>
      </c>
      <c r="J1241" s="10">
        <v>5071</v>
      </c>
      <c r="K1241" s="10">
        <v>5071</v>
      </c>
    </row>
    <row r="1242" spans="1:11" ht="63" x14ac:dyDescent="0.25">
      <c r="A1242" s="56"/>
      <c r="B1242" s="56"/>
      <c r="C1242" s="56"/>
      <c r="D1242" s="65"/>
      <c r="E1242" s="8" t="s">
        <v>1074</v>
      </c>
      <c r="F1242" s="9" t="s">
        <v>22</v>
      </c>
      <c r="G1242" s="10" t="s">
        <v>165</v>
      </c>
      <c r="H1242" s="10">
        <v>2</v>
      </c>
      <c r="I1242" s="10">
        <v>2</v>
      </c>
      <c r="J1242" s="10">
        <v>2</v>
      </c>
      <c r="K1242" s="10">
        <v>2</v>
      </c>
    </row>
    <row r="1243" spans="1:11" ht="63" x14ac:dyDescent="0.25">
      <c r="A1243" s="57"/>
      <c r="B1243" s="57"/>
      <c r="C1243" s="57"/>
      <c r="D1243" s="8" t="s">
        <v>242</v>
      </c>
      <c r="E1243" s="8" t="s">
        <v>16</v>
      </c>
      <c r="F1243" s="9" t="s">
        <v>109</v>
      </c>
      <c r="G1243" s="1">
        <f>101.708*4</f>
        <v>406.83199999999999</v>
      </c>
      <c r="H1243" s="1">
        <v>1017.64</v>
      </c>
      <c r="I1243" s="1">
        <v>806.93</v>
      </c>
      <c r="J1243" s="1">
        <v>687.3</v>
      </c>
      <c r="K1243" s="1">
        <v>698.73</v>
      </c>
    </row>
    <row r="1244" spans="1:11" ht="63" customHeight="1" x14ac:dyDescent="0.25">
      <c r="A1244" s="61" t="s">
        <v>316</v>
      </c>
      <c r="B1244" s="62"/>
      <c r="C1244" s="62"/>
      <c r="D1244" s="63"/>
      <c r="E1244" s="13" t="s">
        <v>16</v>
      </c>
      <c r="F1244" s="14" t="s">
        <v>7</v>
      </c>
      <c r="G1244" s="15">
        <f>G1243+G1227+G1224+G1207+G1189+G1163+G1144+G1118+G1110+G1104+G1088+G1085</f>
        <v>10170.781999999999</v>
      </c>
      <c r="H1244" s="15">
        <f t="shared" ref="H1244:K1244" si="33">H1243+H1227+H1224+H1207+H1189+H1163+H1144+H1118+H1110+H1104+H1088+H1085</f>
        <v>12211.679999999998</v>
      </c>
      <c r="I1244" s="15">
        <f t="shared" si="33"/>
        <v>9683.1600000000017</v>
      </c>
      <c r="J1244" s="15">
        <f t="shared" si="33"/>
        <v>8247.6</v>
      </c>
      <c r="K1244" s="15">
        <f t="shared" si="33"/>
        <v>8384.7599999999984</v>
      </c>
    </row>
    <row r="1245" spans="1:11" ht="63" customHeight="1" x14ac:dyDescent="0.25">
      <c r="A1245" s="58" t="s">
        <v>317</v>
      </c>
      <c r="B1245" s="59"/>
      <c r="C1245" s="59"/>
      <c r="D1245" s="60"/>
      <c r="E1245" s="16" t="s">
        <v>16</v>
      </c>
      <c r="F1245" s="17" t="s">
        <v>7</v>
      </c>
      <c r="G1245" s="18">
        <f>G1244</f>
        <v>10170.781999999999</v>
      </c>
      <c r="H1245" s="18">
        <f t="shared" ref="H1245:K1245" si="34">H1244</f>
        <v>12211.679999999998</v>
      </c>
      <c r="I1245" s="18">
        <f t="shared" si="34"/>
        <v>9683.1600000000017</v>
      </c>
      <c r="J1245" s="18">
        <f t="shared" si="34"/>
        <v>8247.6</v>
      </c>
      <c r="K1245" s="18">
        <f t="shared" si="34"/>
        <v>8384.7599999999984</v>
      </c>
    </row>
    <row r="1246" spans="1:11" ht="15.75" customHeight="1" x14ac:dyDescent="0.25">
      <c r="A1246" s="29" t="s">
        <v>963</v>
      </c>
      <c r="B1246" s="66" t="s">
        <v>127</v>
      </c>
      <c r="C1246" s="67"/>
      <c r="D1246" s="67"/>
      <c r="E1246" s="67"/>
      <c r="F1246" s="67"/>
      <c r="G1246" s="68"/>
      <c r="H1246" s="19"/>
      <c r="I1246" s="19"/>
      <c r="J1246" s="19"/>
      <c r="K1246" s="19"/>
    </row>
    <row r="1247" spans="1:11" ht="81.75" customHeight="1" x14ac:dyDescent="0.25">
      <c r="A1247" s="55" t="s">
        <v>964</v>
      </c>
      <c r="B1247" s="55" t="s">
        <v>161</v>
      </c>
      <c r="C1247" s="55" t="s">
        <v>128</v>
      </c>
      <c r="D1247" s="64" t="s">
        <v>129</v>
      </c>
      <c r="E1247" s="8" t="s">
        <v>1610</v>
      </c>
      <c r="F1247" s="9" t="s">
        <v>130</v>
      </c>
      <c r="G1247" s="1">
        <v>183500</v>
      </c>
      <c r="H1247" s="1">
        <v>183500</v>
      </c>
      <c r="I1247" s="1">
        <v>183500</v>
      </c>
      <c r="J1247" s="1">
        <v>183500</v>
      </c>
      <c r="K1247" s="1">
        <v>183500</v>
      </c>
    </row>
    <row r="1248" spans="1:11" ht="81.75" customHeight="1" x14ac:dyDescent="0.25">
      <c r="A1248" s="56"/>
      <c r="B1248" s="56"/>
      <c r="C1248" s="56"/>
      <c r="D1248" s="71"/>
      <c r="E1248" s="8" t="s">
        <v>1611</v>
      </c>
      <c r="F1248" s="9" t="s">
        <v>22</v>
      </c>
      <c r="G1248" s="11">
        <v>23</v>
      </c>
      <c r="H1248" s="9">
        <v>22</v>
      </c>
      <c r="I1248" s="9">
        <v>22</v>
      </c>
      <c r="J1248" s="9">
        <v>22</v>
      </c>
      <c r="K1248" s="9">
        <v>22</v>
      </c>
    </row>
    <row r="1249" spans="1:11" ht="81.75" customHeight="1" x14ac:dyDescent="0.25">
      <c r="A1249" s="56"/>
      <c r="B1249" s="56"/>
      <c r="C1249" s="56"/>
      <c r="D1249" s="65"/>
      <c r="E1249" s="8" t="s">
        <v>1612</v>
      </c>
      <c r="F1249" s="9" t="s">
        <v>22</v>
      </c>
      <c r="G1249" s="11">
        <v>2</v>
      </c>
      <c r="H1249" s="9">
        <v>3</v>
      </c>
      <c r="I1249" s="9">
        <v>3</v>
      </c>
      <c r="J1249" s="9">
        <v>3</v>
      </c>
      <c r="K1249" s="9">
        <v>3</v>
      </c>
    </row>
    <row r="1250" spans="1:11" ht="63" x14ac:dyDescent="0.25">
      <c r="A1250" s="55" t="s">
        <v>965</v>
      </c>
      <c r="B1250" s="56"/>
      <c r="C1250" s="55" t="s">
        <v>134</v>
      </c>
      <c r="D1250" s="64" t="s">
        <v>133</v>
      </c>
      <c r="E1250" s="8" t="s">
        <v>131</v>
      </c>
      <c r="F1250" s="9" t="s">
        <v>22</v>
      </c>
      <c r="G1250" s="11">
        <v>6</v>
      </c>
      <c r="H1250" s="9">
        <v>8</v>
      </c>
      <c r="I1250" s="9">
        <v>7</v>
      </c>
      <c r="J1250" s="9">
        <v>7</v>
      </c>
      <c r="K1250" s="9">
        <v>7</v>
      </c>
    </row>
    <row r="1251" spans="1:11" ht="31.5" x14ac:dyDescent="0.25">
      <c r="A1251" s="56"/>
      <c r="B1251" s="56"/>
      <c r="C1251" s="56"/>
      <c r="D1251" s="71"/>
      <c r="E1251" s="8" t="s">
        <v>1613</v>
      </c>
      <c r="F1251" s="9" t="s">
        <v>130</v>
      </c>
      <c r="G1251" s="1">
        <v>2300</v>
      </c>
      <c r="H1251" s="1">
        <v>2300.1999999999998</v>
      </c>
      <c r="I1251" s="1">
        <v>2300.1999999999998</v>
      </c>
      <c r="J1251" s="1">
        <v>2300.1999999999998</v>
      </c>
      <c r="K1251" s="1">
        <v>2300.1999999999998</v>
      </c>
    </row>
    <row r="1252" spans="1:11" ht="31.5" x14ac:dyDescent="0.25">
      <c r="A1252" s="56"/>
      <c r="B1252" s="56"/>
      <c r="C1252" s="56"/>
      <c r="D1252" s="71"/>
      <c r="E1252" s="8" t="s">
        <v>1614</v>
      </c>
      <c r="F1252" s="9" t="s">
        <v>1615</v>
      </c>
      <c r="G1252" s="11">
        <v>3</v>
      </c>
      <c r="H1252" s="11">
        <v>3</v>
      </c>
      <c r="I1252" s="11">
        <v>2</v>
      </c>
      <c r="J1252" s="11">
        <v>2</v>
      </c>
      <c r="K1252" s="11">
        <v>2</v>
      </c>
    </row>
    <row r="1253" spans="1:11" ht="78.75" x14ac:dyDescent="0.25">
      <c r="A1253" s="56"/>
      <c r="B1253" s="56"/>
      <c r="C1253" s="56"/>
      <c r="D1253" s="71"/>
      <c r="E1253" s="8" t="s">
        <v>1616</v>
      </c>
      <c r="F1253" s="9" t="s">
        <v>22</v>
      </c>
      <c r="G1253" s="11">
        <v>26</v>
      </c>
      <c r="H1253" s="11">
        <v>26</v>
      </c>
      <c r="I1253" s="11">
        <v>26</v>
      </c>
      <c r="J1253" s="11">
        <v>26</v>
      </c>
      <c r="K1253" s="11">
        <v>26</v>
      </c>
    </row>
    <row r="1254" spans="1:11" ht="63" x14ac:dyDescent="0.25">
      <c r="A1254" s="56"/>
      <c r="B1254" s="56"/>
      <c r="C1254" s="56"/>
      <c r="D1254" s="71"/>
      <c r="E1254" s="8" t="s">
        <v>132</v>
      </c>
      <c r="F1254" s="9" t="s">
        <v>130</v>
      </c>
      <c r="G1254" s="10">
        <v>153500</v>
      </c>
      <c r="H1254" s="10">
        <v>153500</v>
      </c>
      <c r="I1254" s="10">
        <v>153500</v>
      </c>
      <c r="J1254" s="10">
        <v>153500</v>
      </c>
      <c r="K1254" s="10">
        <v>153500</v>
      </c>
    </row>
    <row r="1255" spans="1:11" ht="63" x14ac:dyDescent="0.25">
      <c r="A1255" s="56"/>
      <c r="B1255" s="56"/>
      <c r="C1255" s="56"/>
      <c r="D1255" s="65"/>
      <c r="E1255" s="8" t="s">
        <v>132</v>
      </c>
      <c r="F1255" s="9" t="s">
        <v>22</v>
      </c>
      <c r="G1255" s="11">
        <v>7</v>
      </c>
      <c r="H1255" s="11">
        <v>0</v>
      </c>
      <c r="I1255" s="11">
        <v>0</v>
      </c>
      <c r="J1255" s="11">
        <v>0</v>
      </c>
      <c r="K1255" s="11">
        <v>0</v>
      </c>
    </row>
    <row r="1256" spans="1:11" ht="94.5" x14ac:dyDescent="0.25">
      <c r="A1256" s="55" t="s">
        <v>909</v>
      </c>
      <c r="B1256" s="56"/>
      <c r="C1256" s="55" t="s">
        <v>135</v>
      </c>
      <c r="D1256" s="64" t="s">
        <v>137</v>
      </c>
      <c r="E1256" s="8" t="s">
        <v>1617</v>
      </c>
      <c r="F1256" s="9" t="s">
        <v>22</v>
      </c>
      <c r="G1256" s="11">
        <v>7</v>
      </c>
      <c r="H1256" s="11">
        <v>15</v>
      </c>
      <c r="I1256" s="11">
        <v>12</v>
      </c>
      <c r="J1256" s="11">
        <v>12</v>
      </c>
      <c r="K1256" s="11">
        <v>12</v>
      </c>
    </row>
    <row r="1257" spans="1:11" ht="31.5" x14ac:dyDescent="0.25">
      <c r="A1257" s="56"/>
      <c r="B1257" s="56"/>
      <c r="C1257" s="56"/>
      <c r="D1257" s="65"/>
      <c r="E1257" s="8" t="s">
        <v>136</v>
      </c>
      <c r="F1257" s="9" t="s">
        <v>22</v>
      </c>
      <c r="G1257" s="11">
        <v>6</v>
      </c>
      <c r="H1257" s="11">
        <v>5</v>
      </c>
      <c r="I1257" s="11">
        <v>5</v>
      </c>
      <c r="J1257" s="11">
        <v>5</v>
      </c>
      <c r="K1257" s="11">
        <v>5</v>
      </c>
    </row>
    <row r="1258" spans="1:11" ht="47.25" x14ac:dyDescent="0.25">
      <c r="A1258" s="55" t="s">
        <v>966</v>
      </c>
      <c r="B1258" s="56"/>
      <c r="C1258" s="55" t="s">
        <v>138</v>
      </c>
      <c r="D1258" s="64" t="s">
        <v>140</v>
      </c>
      <c r="E1258" s="8" t="s">
        <v>1618</v>
      </c>
      <c r="F1258" s="9" t="s">
        <v>22</v>
      </c>
      <c r="G1258" s="11">
        <v>1</v>
      </c>
      <c r="H1258" s="11">
        <v>2</v>
      </c>
      <c r="I1258" s="11">
        <v>0</v>
      </c>
      <c r="J1258" s="11">
        <v>0</v>
      </c>
      <c r="K1258" s="11">
        <v>0</v>
      </c>
    </row>
    <row r="1259" spans="1:11" ht="47.25" x14ac:dyDescent="0.25">
      <c r="A1259" s="56"/>
      <c r="B1259" s="56"/>
      <c r="C1259" s="56"/>
      <c r="D1259" s="71"/>
      <c r="E1259" s="8" t="s">
        <v>1619</v>
      </c>
      <c r="F1259" s="9" t="s">
        <v>68</v>
      </c>
      <c r="G1259" s="10">
        <v>2000</v>
      </c>
      <c r="H1259" s="10">
        <v>1550</v>
      </c>
      <c r="I1259" s="10">
        <v>1950</v>
      </c>
      <c r="J1259" s="10">
        <v>1950</v>
      </c>
      <c r="K1259" s="10">
        <v>1950</v>
      </c>
    </row>
    <row r="1260" spans="1:11" ht="47.25" x14ac:dyDescent="0.25">
      <c r="A1260" s="56"/>
      <c r="B1260" s="56"/>
      <c r="C1260" s="56"/>
      <c r="D1260" s="71"/>
      <c r="E1260" s="8" t="s">
        <v>141</v>
      </c>
      <c r="F1260" s="9" t="s">
        <v>22</v>
      </c>
      <c r="G1260" s="11">
        <v>0</v>
      </c>
      <c r="H1260" s="10">
        <v>0</v>
      </c>
      <c r="I1260" s="10">
        <v>2</v>
      </c>
      <c r="J1260" s="10">
        <v>2</v>
      </c>
      <c r="K1260" s="10">
        <v>2</v>
      </c>
    </row>
    <row r="1261" spans="1:11" ht="47.25" x14ac:dyDescent="0.25">
      <c r="A1261" s="56"/>
      <c r="B1261" s="56"/>
      <c r="C1261" s="56"/>
      <c r="D1261" s="71"/>
      <c r="E1261" s="8" t="s">
        <v>1621</v>
      </c>
      <c r="F1261" s="9" t="s">
        <v>68</v>
      </c>
      <c r="G1261" s="11">
        <v>0</v>
      </c>
      <c r="H1261" s="10">
        <v>0</v>
      </c>
      <c r="I1261" s="10">
        <v>320</v>
      </c>
      <c r="J1261" s="10">
        <v>320</v>
      </c>
      <c r="K1261" s="10">
        <v>320</v>
      </c>
    </row>
    <row r="1262" spans="1:11" ht="47.25" x14ac:dyDescent="0.25">
      <c r="A1262" s="56"/>
      <c r="B1262" s="56"/>
      <c r="C1262" s="56"/>
      <c r="D1262" s="71"/>
      <c r="E1262" s="8" t="s">
        <v>1622</v>
      </c>
      <c r="F1262" s="9" t="s">
        <v>22</v>
      </c>
      <c r="G1262" s="11">
        <v>2</v>
      </c>
      <c r="H1262" s="10">
        <v>0</v>
      </c>
      <c r="I1262" s="10">
        <v>20</v>
      </c>
      <c r="J1262" s="10">
        <v>20</v>
      </c>
      <c r="K1262" s="10">
        <v>20</v>
      </c>
    </row>
    <row r="1263" spans="1:11" ht="47.25" x14ac:dyDescent="0.25">
      <c r="A1263" s="56"/>
      <c r="B1263" s="56"/>
      <c r="C1263" s="56"/>
      <c r="D1263" s="71"/>
      <c r="E1263" s="8" t="s">
        <v>139</v>
      </c>
      <c r="F1263" s="9" t="s">
        <v>22</v>
      </c>
      <c r="G1263" s="10">
        <v>15</v>
      </c>
      <c r="H1263" s="10">
        <v>15</v>
      </c>
      <c r="I1263" s="10">
        <v>15</v>
      </c>
      <c r="J1263" s="10">
        <v>15</v>
      </c>
      <c r="K1263" s="10">
        <v>15</v>
      </c>
    </row>
    <row r="1264" spans="1:11" ht="31.5" x14ac:dyDescent="0.25">
      <c r="A1264" s="56"/>
      <c r="B1264" s="56"/>
      <c r="C1264" s="56"/>
      <c r="D1264" s="65"/>
      <c r="E1264" s="8" t="s">
        <v>1623</v>
      </c>
      <c r="F1264" s="9" t="s">
        <v>22</v>
      </c>
      <c r="G1264" s="10">
        <v>1550</v>
      </c>
      <c r="H1264" s="10">
        <v>0</v>
      </c>
      <c r="I1264" s="10">
        <v>0</v>
      </c>
      <c r="J1264" s="10">
        <v>0</v>
      </c>
      <c r="K1264" s="10">
        <v>0</v>
      </c>
    </row>
    <row r="1265" spans="1:11" ht="104.25" customHeight="1" x14ac:dyDescent="0.25">
      <c r="A1265" s="24" t="s">
        <v>967</v>
      </c>
      <c r="B1265" s="56"/>
      <c r="C1265" s="24" t="s">
        <v>142</v>
      </c>
      <c r="D1265" s="8" t="s">
        <v>143</v>
      </c>
      <c r="E1265" s="8" t="s">
        <v>1624</v>
      </c>
      <c r="F1265" s="9" t="s">
        <v>22</v>
      </c>
      <c r="G1265" s="11">
        <v>205</v>
      </c>
      <c r="H1265" s="11">
        <v>453</v>
      </c>
      <c r="I1265" s="11">
        <v>453</v>
      </c>
      <c r="J1265" s="11">
        <v>453</v>
      </c>
      <c r="K1265" s="11">
        <v>453</v>
      </c>
    </row>
    <row r="1266" spans="1:11" ht="113.25" customHeight="1" x14ac:dyDescent="0.25">
      <c r="A1266" s="55" t="s">
        <v>968</v>
      </c>
      <c r="B1266" s="56"/>
      <c r="C1266" s="55" t="s">
        <v>144</v>
      </c>
      <c r="D1266" s="64" t="s">
        <v>145</v>
      </c>
      <c r="E1266" s="8" t="s">
        <v>1625</v>
      </c>
      <c r="F1266" s="9" t="s">
        <v>22</v>
      </c>
      <c r="G1266" s="11">
        <v>350</v>
      </c>
      <c r="H1266" s="11" t="s">
        <v>165</v>
      </c>
      <c r="I1266" s="11" t="s">
        <v>165</v>
      </c>
      <c r="J1266" s="11" t="s">
        <v>165</v>
      </c>
      <c r="K1266" s="11" t="s">
        <v>165</v>
      </c>
    </row>
    <row r="1267" spans="1:11" ht="110.25" customHeight="1" x14ac:dyDescent="0.25">
      <c r="A1267" s="56"/>
      <c r="B1267" s="56"/>
      <c r="C1267" s="56"/>
      <c r="D1267" s="71"/>
      <c r="E1267" s="8" t="s">
        <v>1625</v>
      </c>
      <c r="F1267" s="9" t="s">
        <v>68</v>
      </c>
      <c r="G1267" s="11" t="s">
        <v>165</v>
      </c>
      <c r="H1267" s="11">
        <v>1200</v>
      </c>
      <c r="I1267" s="11">
        <v>800</v>
      </c>
      <c r="J1267" s="11">
        <v>800</v>
      </c>
      <c r="K1267" s="11">
        <v>800</v>
      </c>
    </row>
    <row r="1268" spans="1:11" ht="94.5" x14ac:dyDescent="0.25">
      <c r="A1268" s="56"/>
      <c r="B1268" s="56"/>
      <c r="C1268" s="56"/>
      <c r="D1268" s="71"/>
      <c r="E1268" s="8" t="s">
        <v>146</v>
      </c>
      <c r="F1268" s="9" t="s">
        <v>22</v>
      </c>
      <c r="G1268" s="11">
        <v>5</v>
      </c>
      <c r="H1268" s="11">
        <v>2</v>
      </c>
      <c r="I1268" s="11">
        <v>1</v>
      </c>
      <c r="J1268" s="11">
        <v>1</v>
      </c>
      <c r="K1268" s="11">
        <v>1</v>
      </c>
    </row>
    <row r="1269" spans="1:11" ht="94.5" x14ac:dyDescent="0.25">
      <c r="A1269" s="56"/>
      <c r="B1269" s="56"/>
      <c r="C1269" s="56"/>
      <c r="D1269" s="65"/>
      <c r="E1269" s="8" t="s">
        <v>147</v>
      </c>
      <c r="F1269" s="9" t="s">
        <v>22</v>
      </c>
      <c r="G1269" s="11">
        <v>7</v>
      </c>
      <c r="H1269" s="11">
        <v>11</v>
      </c>
      <c r="I1269" s="11">
        <v>10</v>
      </c>
      <c r="J1269" s="11">
        <v>10</v>
      </c>
      <c r="K1269" s="11">
        <v>10</v>
      </c>
    </row>
    <row r="1270" spans="1:11" ht="63" x14ac:dyDescent="0.25">
      <c r="A1270" s="24" t="s">
        <v>969</v>
      </c>
      <c r="B1270" s="56"/>
      <c r="C1270" s="24" t="s">
        <v>148</v>
      </c>
      <c r="D1270" s="8" t="s">
        <v>152</v>
      </c>
      <c r="E1270" s="8" t="s">
        <v>149</v>
      </c>
      <c r="F1270" s="9" t="s">
        <v>130</v>
      </c>
      <c r="G1270" s="11">
        <v>15</v>
      </c>
      <c r="H1270" s="11">
        <v>19</v>
      </c>
      <c r="I1270" s="11">
        <v>19</v>
      </c>
      <c r="J1270" s="11">
        <v>19</v>
      </c>
      <c r="K1270" s="11">
        <v>19</v>
      </c>
    </row>
    <row r="1271" spans="1:11" ht="31.5" customHeight="1" x14ac:dyDescent="0.25">
      <c r="A1271" s="24" t="s">
        <v>970</v>
      </c>
      <c r="B1271" s="56"/>
      <c r="C1271" s="24" t="s">
        <v>150</v>
      </c>
      <c r="D1271" s="8" t="s">
        <v>153</v>
      </c>
      <c r="E1271" s="8" t="s">
        <v>151</v>
      </c>
      <c r="F1271" s="9" t="s">
        <v>22</v>
      </c>
      <c r="G1271" s="11">
        <v>1</v>
      </c>
      <c r="H1271" s="11">
        <v>1</v>
      </c>
      <c r="I1271" s="11">
        <v>2</v>
      </c>
      <c r="J1271" s="11">
        <v>2</v>
      </c>
      <c r="K1271" s="11">
        <v>2</v>
      </c>
    </row>
    <row r="1272" spans="1:11" ht="31.5" customHeight="1" x14ac:dyDescent="0.25">
      <c r="A1272" s="24" t="s">
        <v>971</v>
      </c>
      <c r="B1272" s="56"/>
      <c r="C1272" s="24" t="s">
        <v>46</v>
      </c>
      <c r="D1272" s="8" t="s">
        <v>1002</v>
      </c>
      <c r="E1272" s="8" t="s">
        <v>1626</v>
      </c>
      <c r="F1272" s="9" t="s">
        <v>61</v>
      </c>
      <c r="G1272" s="11">
        <v>2</v>
      </c>
      <c r="H1272" s="11">
        <v>0</v>
      </c>
      <c r="I1272" s="11">
        <v>0</v>
      </c>
      <c r="J1272" s="11">
        <v>0</v>
      </c>
      <c r="K1272" s="11">
        <v>0</v>
      </c>
    </row>
    <row r="1273" spans="1:11" ht="252" x14ac:dyDescent="0.25">
      <c r="A1273" s="24" t="s">
        <v>972</v>
      </c>
      <c r="B1273" s="56"/>
      <c r="C1273" s="24" t="s">
        <v>154</v>
      </c>
      <c r="D1273" s="8" t="s">
        <v>155</v>
      </c>
      <c r="E1273" s="8" t="s">
        <v>1627</v>
      </c>
      <c r="F1273" s="9" t="s">
        <v>61</v>
      </c>
      <c r="G1273" s="11">
        <v>30</v>
      </c>
      <c r="H1273" s="10">
        <v>0</v>
      </c>
      <c r="I1273" s="10">
        <v>0</v>
      </c>
      <c r="J1273" s="10">
        <v>0</v>
      </c>
      <c r="K1273" s="10">
        <v>0</v>
      </c>
    </row>
    <row r="1274" spans="1:11" ht="47.25" x14ac:dyDescent="0.25">
      <c r="A1274" s="55" t="s">
        <v>973</v>
      </c>
      <c r="B1274" s="56"/>
      <c r="C1274" s="55" t="s">
        <v>156</v>
      </c>
      <c r="D1274" s="64" t="s">
        <v>159</v>
      </c>
      <c r="E1274" s="8" t="s">
        <v>157</v>
      </c>
      <c r="F1274" s="9" t="s">
        <v>22</v>
      </c>
      <c r="G1274" s="11">
        <v>0</v>
      </c>
      <c r="H1274" s="11">
        <v>3</v>
      </c>
      <c r="I1274" s="11">
        <v>3</v>
      </c>
      <c r="J1274" s="11">
        <v>3</v>
      </c>
      <c r="K1274" s="11">
        <v>3</v>
      </c>
    </row>
    <row r="1275" spans="1:11" ht="64.5" customHeight="1" x14ac:dyDescent="0.25">
      <c r="A1275" s="56"/>
      <c r="B1275" s="56"/>
      <c r="C1275" s="56"/>
      <c r="D1275" s="71"/>
      <c r="E1275" s="8" t="s">
        <v>158</v>
      </c>
      <c r="F1275" s="9" t="s">
        <v>22</v>
      </c>
      <c r="G1275" s="10">
        <v>0</v>
      </c>
      <c r="H1275" s="10">
        <v>1600</v>
      </c>
      <c r="I1275" s="10">
        <v>1600</v>
      </c>
      <c r="J1275" s="10">
        <v>1600</v>
      </c>
      <c r="K1275" s="10">
        <v>1600</v>
      </c>
    </row>
    <row r="1276" spans="1:11" ht="366.75" customHeight="1" x14ac:dyDescent="0.25">
      <c r="A1276" s="56"/>
      <c r="B1276" s="56"/>
      <c r="C1276" s="56"/>
      <c r="D1276" s="65"/>
      <c r="E1276" s="23" t="s">
        <v>1628</v>
      </c>
      <c r="F1276" s="24" t="s">
        <v>22</v>
      </c>
      <c r="G1276" s="25" t="s">
        <v>1620</v>
      </c>
      <c r="H1276" s="25">
        <v>1849</v>
      </c>
      <c r="I1276" s="25">
        <v>1512</v>
      </c>
      <c r="J1276" s="25">
        <v>3542</v>
      </c>
      <c r="K1276" s="25">
        <v>3542</v>
      </c>
    </row>
    <row r="1277" spans="1:11" ht="147.75" customHeight="1" x14ac:dyDescent="0.25">
      <c r="A1277" s="9" t="s">
        <v>974</v>
      </c>
      <c r="B1277" s="56"/>
      <c r="C1277" s="9" t="s">
        <v>70</v>
      </c>
      <c r="D1277" s="8" t="s">
        <v>373</v>
      </c>
      <c r="E1277" s="8" t="s">
        <v>1629</v>
      </c>
      <c r="F1277" s="9" t="s">
        <v>61</v>
      </c>
      <c r="G1277" s="11">
        <v>172</v>
      </c>
      <c r="H1277" s="10">
        <v>0</v>
      </c>
      <c r="I1277" s="10">
        <v>0</v>
      </c>
      <c r="J1277" s="10">
        <v>0</v>
      </c>
      <c r="K1277" s="10">
        <v>0</v>
      </c>
    </row>
    <row r="1278" spans="1:11" ht="322.5" customHeight="1" x14ac:dyDescent="0.25">
      <c r="A1278" s="9" t="s">
        <v>975</v>
      </c>
      <c r="B1278" s="57"/>
      <c r="C1278" s="9" t="s">
        <v>371</v>
      </c>
      <c r="D1278" s="8" t="s">
        <v>801</v>
      </c>
      <c r="E1278" s="8" t="s">
        <v>1630</v>
      </c>
      <c r="F1278" s="24" t="s">
        <v>22</v>
      </c>
      <c r="G1278" s="11">
        <v>243</v>
      </c>
      <c r="H1278" s="10">
        <v>0</v>
      </c>
      <c r="I1278" s="10">
        <v>0</v>
      </c>
      <c r="J1278" s="10">
        <v>0</v>
      </c>
      <c r="K1278" s="10">
        <v>0</v>
      </c>
    </row>
    <row r="1279" spans="1:11" ht="63" customHeight="1" x14ac:dyDescent="0.25">
      <c r="A1279" s="70" t="s">
        <v>160</v>
      </c>
      <c r="B1279" s="70"/>
      <c r="C1279" s="70"/>
      <c r="D1279" s="20" t="s">
        <v>1649</v>
      </c>
      <c r="E1279" s="13" t="s">
        <v>16</v>
      </c>
      <c r="F1279" s="14" t="s">
        <v>7</v>
      </c>
      <c r="G1279" s="15">
        <v>15306.9</v>
      </c>
      <c r="H1279" s="15">
        <v>16830.7</v>
      </c>
      <c r="I1279" s="15">
        <v>15671.1</v>
      </c>
      <c r="J1279" s="15">
        <v>13775.8</v>
      </c>
      <c r="K1279" s="15">
        <v>13775.8</v>
      </c>
    </row>
    <row r="1280" spans="1:11" ht="43.5" customHeight="1" x14ac:dyDescent="0.25">
      <c r="A1280" s="55" t="s">
        <v>976</v>
      </c>
      <c r="B1280" s="55" t="s">
        <v>162</v>
      </c>
      <c r="C1280" s="55" t="s">
        <v>190</v>
      </c>
      <c r="D1280" s="20" t="s">
        <v>192</v>
      </c>
      <c r="E1280" s="8" t="s">
        <v>191</v>
      </c>
      <c r="F1280" s="9" t="s">
        <v>61</v>
      </c>
      <c r="G1280" s="44">
        <v>92</v>
      </c>
      <c r="H1280" s="44">
        <v>110</v>
      </c>
      <c r="I1280" s="44">
        <v>110</v>
      </c>
      <c r="J1280" s="44">
        <v>110</v>
      </c>
      <c r="K1280" s="44">
        <v>110</v>
      </c>
    </row>
    <row r="1281" spans="1:11" ht="63" x14ac:dyDescent="0.25">
      <c r="A1281" s="56"/>
      <c r="B1281" s="56"/>
      <c r="C1281" s="56"/>
      <c r="D1281" s="20" t="s">
        <v>193</v>
      </c>
      <c r="E1281" s="8" t="s">
        <v>15</v>
      </c>
      <c r="F1281" s="9" t="s">
        <v>7</v>
      </c>
      <c r="G1281" s="40">
        <v>2208.1999999999998</v>
      </c>
      <c r="H1281" s="40">
        <v>2229.1</v>
      </c>
      <c r="I1281" s="40">
        <v>1939.3</v>
      </c>
      <c r="J1281" s="40">
        <v>2201.1999999999998</v>
      </c>
      <c r="K1281" s="40">
        <v>2786.4</v>
      </c>
    </row>
    <row r="1282" spans="1:11" ht="40.5" customHeight="1" x14ac:dyDescent="0.25">
      <c r="A1282" s="56"/>
      <c r="B1282" s="56"/>
      <c r="C1282" s="56"/>
      <c r="D1282" s="20" t="s">
        <v>192</v>
      </c>
      <c r="E1282" s="8" t="s">
        <v>429</v>
      </c>
      <c r="F1282" s="9" t="s">
        <v>194</v>
      </c>
      <c r="G1282" s="54">
        <v>35.72</v>
      </c>
      <c r="H1282" s="54">
        <v>34.58</v>
      </c>
      <c r="I1282" s="54">
        <v>34.6</v>
      </c>
      <c r="J1282" s="54">
        <v>34.6</v>
      </c>
      <c r="K1282" s="54">
        <v>34.6</v>
      </c>
    </row>
    <row r="1283" spans="1:11" ht="63" x14ac:dyDescent="0.25">
      <c r="A1283" s="56"/>
      <c r="B1283" s="56"/>
      <c r="C1283" s="56"/>
      <c r="D1283" s="8" t="s">
        <v>193</v>
      </c>
      <c r="E1283" s="8" t="s">
        <v>15</v>
      </c>
      <c r="F1283" s="9" t="s">
        <v>7</v>
      </c>
      <c r="G1283" s="40">
        <v>696.53499999999997</v>
      </c>
      <c r="H1283" s="40">
        <v>739.7</v>
      </c>
      <c r="I1283" s="40">
        <v>643.53</v>
      </c>
      <c r="J1283" s="40">
        <v>730.43</v>
      </c>
      <c r="K1283" s="40">
        <v>924.63</v>
      </c>
    </row>
    <row r="1284" spans="1:11" ht="50.25" customHeight="1" x14ac:dyDescent="0.25">
      <c r="A1284" s="56"/>
      <c r="B1284" s="56"/>
      <c r="C1284" s="56"/>
      <c r="D1284" s="20" t="s">
        <v>192</v>
      </c>
      <c r="E1284" s="8" t="s">
        <v>195</v>
      </c>
      <c r="F1284" s="9" t="s">
        <v>194</v>
      </c>
      <c r="G1284" s="54">
        <v>238.4</v>
      </c>
      <c r="H1284" s="54">
        <v>220.4</v>
      </c>
      <c r="I1284" s="54">
        <v>220.4</v>
      </c>
      <c r="J1284" s="54">
        <v>220.4</v>
      </c>
      <c r="K1284" s="54">
        <v>220.4</v>
      </c>
    </row>
    <row r="1285" spans="1:11" ht="63" x14ac:dyDescent="0.25">
      <c r="A1285" s="56"/>
      <c r="B1285" s="56"/>
      <c r="C1285" s="56"/>
      <c r="D1285" s="8" t="s">
        <v>193</v>
      </c>
      <c r="E1285" s="8" t="s">
        <v>15</v>
      </c>
      <c r="F1285" s="9" t="s">
        <v>7</v>
      </c>
      <c r="G1285" s="40">
        <v>1597.78</v>
      </c>
      <c r="H1285" s="40">
        <v>12425.4</v>
      </c>
      <c r="I1285" s="40">
        <v>10810.1</v>
      </c>
      <c r="J1285" s="40">
        <v>12801.9</v>
      </c>
      <c r="K1285" s="40">
        <v>16204.9</v>
      </c>
    </row>
    <row r="1286" spans="1:11" ht="36" customHeight="1" x14ac:dyDescent="0.25">
      <c r="A1286" s="56"/>
      <c r="B1286" s="56"/>
      <c r="C1286" s="56"/>
      <c r="D1286" s="20" t="s">
        <v>192</v>
      </c>
      <c r="E1286" s="8" t="s">
        <v>1631</v>
      </c>
      <c r="F1286" s="9" t="s">
        <v>194</v>
      </c>
      <c r="G1286" s="54">
        <v>3.4950000000000001</v>
      </c>
      <c r="H1286" s="54">
        <v>6.1</v>
      </c>
      <c r="I1286" s="54">
        <v>6.1</v>
      </c>
      <c r="J1286" s="54">
        <v>6.1</v>
      </c>
      <c r="K1286" s="54">
        <v>6.1</v>
      </c>
    </row>
    <row r="1287" spans="1:11" ht="63" x14ac:dyDescent="0.25">
      <c r="A1287" s="56"/>
      <c r="B1287" s="56"/>
      <c r="C1287" s="56"/>
      <c r="D1287" s="8" t="s">
        <v>193</v>
      </c>
      <c r="E1287" s="8" t="s">
        <v>15</v>
      </c>
      <c r="F1287" s="9" t="s">
        <v>7</v>
      </c>
      <c r="G1287" s="40">
        <v>37.356999999999999</v>
      </c>
      <c r="H1287" s="40">
        <v>184.1</v>
      </c>
      <c r="I1287" s="40">
        <v>160.19999999999999</v>
      </c>
      <c r="J1287" s="40">
        <v>181.8</v>
      </c>
      <c r="K1287" s="40">
        <v>230.1</v>
      </c>
    </row>
    <row r="1288" spans="1:11" ht="53.25" customHeight="1" x14ac:dyDescent="0.25">
      <c r="A1288" s="56"/>
      <c r="B1288" s="56"/>
      <c r="C1288" s="56"/>
      <c r="D1288" s="20" t="s">
        <v>192</v>
      </c>
      <c r="E1288" s="8" t="s">
        <v>196</v>
      </c>
      <c r="F1288" s="9" t="s">
        <v>194</v>
      </c>
      <c r="G1288" s="54">
        <v>53.83</v>
      </c>
      <c r="H1288" s="54">
        <v>44.9</v>
      </c>
      <c r="I1288" s="54">
        <v>44.9</v>
      </c>
      <c r="J1288" s="54">
        <v>44.9</v>
      </c>
      <c r="K1288" s="54">
        <v>44.9</v>
      </c>
    </row>
    <row r="1289" spans="1:11" ht="63" x14ac:dyDescent="0.25">
      <c r="A1289" s="56"/>
      <c r="B1289" s="56"/>
      <c r="C1289" s="56"/>
      <c r="D1289" s="8" t="s">
        <v>210</v>
      </c>
      <c r="E1289" s="8" t="s">
        <v>15</v>
      </c>
      <c r="F1289" s="9" t="s">
        <v>7</v>
      </c>
      <c r="G1289" s="40">
        <v>2565.3449999999998</v>
      </c>
      <c r="H1289" s="40">
        <v>4971</v>
      </c>
      <c r="I1289" s="40">
        <v>4324.8</v>
      </c>
      <c r="J1289" s="40">
        <v>5440.7</v>
      </c>
      <c r="K1289" s="40">
        <v>6886.9</v>
      </c>
    </row>
    <row r="1290" spans="1:11" ht="55.5" customHeight="1" x14ac:dyDescent="0.25">
      <c r="A1290" s="56"/>
      <c r="B1290" s="56"/>
      <c r="C1290" s="56"/>
      <c r="D1290" s="20" t="s">
        <v>192</v>
      </c>
      <c r="E1290" s="8" t="s">
        <v>197</v>
      </c>
      <c r="F1290" s="9" t="s">
        <v>194</v>
      </c>
      <c r="G1290" s="54">
        <v>27.35</v>
      </c>
      <c r="H1290" s="54">
        <v>32.299999999999997</v>
      </c>
      <c r="I1290" s="54">
        <v>36.299999999999997</v>
      </c>
      <c r="J1290" s="54">
        <v>36.299999999999997</v>
      </c>
      <c r="K1290" s="54">
        <v>36.299999999999997</v>
      </c>
    </row>
    <row r="1291" spans="1:11" ht="63" x14ac:dyDescent="0.25">
      <c r="A1291" s="56"/>
      <c r="B1291" s="56"/>
      <c r="C1291" s="56"/>
      <c r="D1291" s="8" t="s">
        <v>193</v>
      </c>
      <c r="E1291" s="8" t="s">
        <v>15</v>
      </c>
      <c r="F1291" s="9" t="s">
        <v>7</v>
      </c>
      <c r="G1291" s="40">
        <v>511.32600000000002</v>
      </c>
      <c r="H1291" s="40">
        <v>2021.3</v>
      </c>
      <c r="I1291" s="40">
        <v>1976.3</v>
      </c>
      <c r="J1291" s="40">
        <v>2243.1999999999998</v>
      </c>
      <c r="K1291" s="40">
        <v>2839.5</v>
      </c>
    </row>
    <row r="1292" spans="1:11" ht="33.75" customHeight="1" x14ac:dyDescent="0.25">
      <c r="A1292" s="56"/>
      <c r="B1292" s="56"/>
      <c r="C1292" s="56"/>
      <c r="D1292" s="20" t="s">
        <v>192</v>
      </c>
      <c r="E1292" s="8" t="s">
        <v>198</v>
      </c>
      <c r="F1292" s="9" t="s">
        <v>194</v>
      </c>
      <c r="G1292" s="54">
        <v>1327</v>
      </c>
      <c r="H1292" s="54">
        <v>1420</v>
      </c>
      <c r="I1292" s="54">
        <v>1420</v>
      </c>
      <c r="J1292" s="54">
        <v>1420</v>
      </c>
      <c r="K1292" s="54">
        <v>1420</v>
      </c>
    </row>
    <row r="1293" spans="1:11" ht="63" x14ac:dyDescent="0.25">
      <c r="A1293" s="56"/>
      <c r="B1293" s="56"/>
      <c r="C1293" s="56"/>
      <c r="D1293" s="8" t="s">
        <v>193</v>
      </c>
      <c r="E1293" s="8" t="s">
        <v>15</v>
      </c>
      <c r="F1293" s="9" t="s">
        <v>7</v>
      </c>
      <c r="G1293" s="40">
        <v>948.8</v>
      </c>
      <c r="H1293" s="40">
        <v>1357.6</v>
      </c>
      <c r="I1293" s="40">
        <v>1181.1099999999999</v>
      </c>
      <c r="J1293" s="40">
        <v>1340.63</v>
      </c>
      <c r="K1293" s="40">
        <v>1697</v>
      </c>
    </row>
    <row r="1294" spans="1:11" ht="115.5" customHeight="1" x14ac:dyDescent="0.25">
      <c r="A1294" s="56"/>
      <c r="B1294" s="56"/>
      <c r="C1294" s="56"/>
      <c r="D1294" s="20" t="s">
        <v>192</v>
      </c>
      <c r="E1294" s="8" t="s">
        <v>199</v>
      </c>
      <c r="F1294" s="9" t="s">
        <v>130</v>
      </c>
      <c r="G1294" s="54">
        <v>27224</v>
      </c>
      <c r="H1294" s="54">
        <v>33994</v>
      </c>
      <c r="I1294" s="54">
        <v>33994</v>
      </c>
      <c r="J1294" s="54">
        <v>33994</v>
      </c>
      <c r="K1294" s="54">
        <v>33994</v>
      </c>
    </row>
    <row r="1295" spans="1:11" ht="63" x14ac:dyDescent="0.25">
      <c r="A1295" s="56"/>
      <c r="B1295" s="56"/>
      <c r="C1295" s="56"/>
      <c r="D1295" s="8" t="s">
        <v>193</v>
      </c>
      <c r="E1295" s="8" t="s">
        <v>15</v>
      </c>
      <c r="F1295" s="9" t="s">
        <v>7</v>
      </c>
      <c r="G1295" s="40">
        <v>165.59</v>
      </c>
      <c r="H1295" s="40">
        <v>229.99</v>
      </c>
      <c r="I1295" s="40">
        <v>200.09</v>
      </c>
      <c r="J1295" s="40">
        <v>227.1</v>
      </c>
      <c r="K1295" s="40">
        <v>287.48</v>
      </c>
    </row>
    <row r="1296" spans="1:11" ht="63" customHeight="1" x14ac:dyDescent="0.25">
      <c r="A1296" s="56"/>
      <c r="B1296" s="56"/>
      <c r="C1296" s="56"/>
      <c r="D1296" s="20" t="s">
        <v>192</v>
      </c>
      <c r="E1296" s="8" t="s">
        <v>200</v>
      </c>
      <c r="F1296" s="9" t="s">
        <v>194</v>
      </c>
      <c r="G1296" s="54">
        <v>9503.27</v>
      </c>
      <c r="H1296" s="54">
        <v>9936</v>
      </c>
      <c r="I1296" s="54">
        <v>9936</v>
      </c>
      <c r="J1296" s="54">
        <v>9936</v>
      </c>
      <c r="K1296" s="54">
        <v>9936</v>
      </c>
    </row>
    <row r="1297" spans="1:11" ht="63" x14ac:dyDescent="0.25">
      <c r="A1297" s="56"/>
      <c r="B1297" s="56"/>
      <c r="C1297" s="56"/>
      <c r="D1297" s="8" t="s">
        <v>193</v>
      </c>
      <c r="E1297" s="8" t="s">
        <v>15</v>
      </c>
      <c r="F1297" s="9" t="s">
        <v>7</v>
      </c>
      <c r="G1297" s="40">
        <v>6102.3829999999998</v>
      </c>
      <c r="H1297" s="40">
        <v>7037.5</v>
      </c>
      <c r="I1297" s="40">
        <v>6122.62</v>
      </c>
      <c r="J1297" s="40">
        <v>6949.5</v>
      </c>
      <c r="K1297" s="40">
        <v>8796.8700000000008</v>
      </c>
    </row>
    <row r="1298" spans="1:11" ht="94.5" x14ac:dyDescent="0.25">
      <c r="A1298" s="56"/>
      <c r="B1298" s="56"/>
      <c r="C1298" s="56"/>
      <c r="D1298" s="20" t="s">
        <v>192</v>
      </c>
      <c r="E1298" s="8" t="s">
        <v>201</v>
      </c>
      <c r="F1298" s="9" t="s">
        <v>61</v>
      </c>
      <c r="G1298" s="44">
        <v>64</v>
      </c>
      <c r="H1298" s="44">
        <v>89</v>
      </c>
      <c r="I1298" s="44">
        <v>89</v>
      </c>
      <c r="J1298" s="44">
        <v>89</v>
      </c>
      <c r="K1298" s="44">
        <v>89</v>
      </c>
    </row>
    <row r="1299" spans="1:11" ht="63" x14ac:dyDescent="0.25">
      <c r="A1299" s="56"/>
      <c r="B1299" s="56"/>
      <c r="C1299" s="56"/>
      <c r="D1299" s="8" t="s">
        <v>193</v>
      </c>
      <c r="E1299" s="8" t="s">
        <v>15</v>
      </c>
      <c r="F1299" s="9" t="s">
        <v>7</v>
      </c>
      <c r="G1299" s="40">
        <v>193.2</v>
      </c>
      <c r="H1299" s="40">
        <v>357.2</v>
      </c>
      <c r="I1299" s="40">
        <v>310.76</v>
      </c>
      <c r="J1299" s="40">
        <v>352.73</v>
      </c>
      <c r="K1299" s="40">
        <v>446.5</v>
      </c>
    </row>
    <row r="1300" spans="1:11" ht="78.75" x14ac:dyDescent="0.25">
      <c r="A1300" s="56"/>
      <c r="B1300" s="56"/>
      <c r="C1300" s="56"/>
      <c r="D1300" s="20" t="s">
        <v>192</v>
      </c>
      <c r="E1300" s="8" t="s">
        <v>202</v>
      </c>
      <c r="F1300" s="9" t="s">
        <v>61</v>
      </c>
      <c r="G1300" s="44">
        <v>10836</v>
      </c>
      <c r="H1300" s="44">
        <v>10839</v>
      </c>
      <c r="I1300" s="44">
        <v>10839</v>
      </c>
      <c r="J1300" s="44">
        <v>10839</v>
      </c>
      <c r="K1300" s="44">
        <v>10839</v>
      </c>
    </row>
    <row r="1301" spans="1:11" ht="63" x14ac:dyDescent="0.25">
      <c r="A1301" s="56"/>
      <c r="B1301" s="56"/>
      <c r="C1301" s="56"/>
      <c r="D1301" s="8" t="s">
        <v>193</v>
      </c>
      <c r="E1301" s="8" t="s">
        <v>15</v>
      </c>
      <c r="F1301" s="9" t="s">
        <v>7</v>
      </c>
      <c r="G1301" s="40">
        <v>1250</v>
      </c>
      <c r="H1301" s="40">
        <v>1981</v>
      </c>
      <c r="I1301" s="40">
        <v>1723.47</v>
      </c>
      <c r="J1301" s="40">
        <v>1956.2</v>
      </c>
      <c r="K1301" s="40">
        <v>2476.25</v>
      </c>
    </row>
    <row r="1302" spans="1:11" ht="63" customHeight="1" x14ac:dyDescent="0.25">
      <c r="A1302" s="56"/>
      <c r="B1302" s="56"/>
      <c r="C1302" s="56"/>
      <c r="D1302" s="20" t="s">
        <v>192</v>
      </c>
      <c r="E1302" s="8" t="s">
        <v>203</v>
      </c>
      <c r="F1302" s="9" t="s">
        <v>130</v>
      </c>
      <c r="G1302" s="54">
        <v>1791.74</v>
      </c>
      <c r="H1302" s="54">
        <v>1791.74</v>
      </c>
      <c r="I1302" s="54">
        <v>1791.74</v>
      </c>
      <c r="J1302" s="54">
        <v>1791.74</v>
      </c>
      <c r="K1302" s="54">
        <v>1791.74</v>
      </c>
    </row>
    <row r="1303" spans="1:11" ht="63" x14ac:dyDescent="0.25">
      <c r="A1303" s="56"/>
      <c r="B1303" s="56"/>
      <c r="C1303" s="56"/>
      <c r="D1303" s="8" t="s">
        <v>193</v>
      </c>
      <c r="E1303" s="8" t="s">
        <v>15</v>
      </c>
      <c r="F1303" s="9" t="s">
        <v>7</v>
      </c>
      <c r="G1303" s="40">
        <v>2200</v>
      </c>
      <c r="H1303" s="40">
        <v>3316</v>
      </c>
      <c r="I1303" s="40">
        <v>2884.9</v>
      </c>
      <c r="J1303" s="40">
        <v>3274.55</v>
      </c>
      <c r="K1303" s="40">
        <v>4145</v>
      </c>
    </row>
    <row r="1304" spans="1:11" ht="15.75" x14ac:dyDescent="0.25">
      <c r="A1304" s="56"/>
      <c r="B1304" s="56"/>
      <c r="C1304" s="56"/>
      <c r="D1304" s="8" t="s">
        <v>192</v>
      </c>
      <c r="E1304" s="8" t="s">
        <v>1655</v>
      </c>
      <c r="F1304" s="9"/>
      <c r="G1304" s="40" t="s">
        <v>1654</v>
      </c>
      <c r="H1304" s="40" t="s">
        <v>1654</v>
      </c>
      <c r="I1304" s="40" t="s">
        <v>1654</v>
      </c>
      <c r="J1304" s="40" t="s">
        <v>1654</v>
      </c>
      <c r="K1304" s="40" t="s">
        <v>1654</v>
      </c>
    </row>
    <row r="1305" spans="1:11" ht="63" x14ac:dyDescent="0.25">
      <c r="A1305" s="56"/>
      <c r="B1305" s="56"/>
      <c r="C1305" s="56"/>
      <c r="D1305" s="8" t="s">
        <v>1656</v>
      </c>
      <c r="E1305" s="8" t="s">
        <v>15</v>
      </c>
      <c r="F1305" s="9" t="s">
        <v>6</v>
      </c>
      <c r="G1305" s="40">
        <v>0</v>
      </c>
      <c r="H1305" s="40">
        <v>625.13900000000001</v>
      </c>
      <c r="I1305" s="40">
        <v>993.9</v>
      </c>
      <c r="J1305" s="40">
        <v>993.9</v>
      </c>
      <c r="K1305" s="40">
        <v>993.9</v>
      </c>
    </row>
    <row r="1306" spans="1:11" ht="63" customHeight="1" x14ac:dyDescent="0.25">
      <c r="A1306" s="56"/>
      <c r="B1306" s="56"/>
      <c r="C1306" s="56"/>
      <c r="D1306" s="20" t="s">
        <v>192</v>
      </c>
      <c r="E1306" s="8" t="s">
        <v>1632</v>
      </c>
      <c r="F1306" s="9" t="s">
        <v>130</v>
      </c>
      <c r="G1306" s="54">
        <v>18200819</v>
      </c>
      <c r="H1306" s="54">
        <v>18200819</v>
      </c>
      <c r="I1306" s="54">
        <v>18200819</v>
      </c>
      <c r="J1306" s="54">
        <v>18200819</v>
      </c>
      <c r="K1306" s="54">
        <v>18200819</v>
      </c>
    </row>
    <row r="1307" spans="1:11" ht="63" x14ac:dyDescent="0.25">
      <c r="A1307" s="56"/>
      <c r="B1307" s="56"/>
      <c r="C1307" s="56"/>
      <c r="D1307" s="8" t="s">
        <v>1633</v>
      </c>
      <c r="E1307" s="8" t="s">
        <v>15</v>
      </c>
      <c r="F1307" s="9" t="s">
        <v>7</v>
      </c>
      <c r="G1307" s="40">
        <v>92569.2</v>
      </c>
      <c r="H1307" s="40">
        <v>105786.6</v>
      </c>
      <c r="I1307" s="54">
        <v>208800</v>
      </c>
      <c r="J1307" s="54">
        <v>227125</v>
      </c>
      <c r="K1307" s="54">
        <v>287500</v>
      </c>
    </row>
    <row r="1308" spans="1:11" ht="15.75" x14ac:dyDescent="0.25">
      <c r="A1308" s="56"/>
      <c r="B1308" s="56"/>
      <c r="C1308" s="56"/>
      <c r="D1308" s="8" t="s">
        <v>192</v>
      </c>
      <c r="E1308" s="8" t="s">
        <v>1655</v>
      </c>
      <c r="F1308" s="9"/>
      <c r="G1308" s="40" t="s">
        <v>1654</v>
      </c>
      <c r="H1308" s="40" t="s">
        <v>1654</v>
      </c>
      <c r="I1308" s="54" t="s">
        <v>1654</v>
      </c>
      <c r="J1308" s="54" t="s">
        <v>1654</v>
      </c>
      <c r="K1308" s="54" t="s">
        <v>1654</v>
      </c>
    </row>
    <row r="1309" spans="1:11" ht="63" x14ac:dyDescent="0.25">
      <c r="A1309" s="56"/>
      <c r="B1309" s="56"/>
      <c r="C1309" s="56"/>
      <c r="D1309" s="8" t="s">
        <v>1657</v>
      </c>
      <c r="E1309" s="8" t="s">
        <v>15</v>
      </c>
      <c r="F1309" s="9" t="s">
        <v>6</v>
      </c>
      <c r="G1309" s="54">
        <v>0</v>
      </c>
      <c r="H1309" s="54">
        <v>6475.76</v>
      </c>
      <c r="I1309" s="54">
        <v>5767.9</v>
      </c>
      <c r="J1309" s="54">
        <v>5767.9</v>
      </c>
      <c r="K1309" s="54">
        <v>5767.9</v>
      </c>
    </row>
    <row r="1310" spans="1:11" ht="141.75" x14ac:dyDescent="0.25">
      <c r="A1310" s="56"/>
      <c r="B1310" s="56"/>
      <c r="C1310" s="56"/>
      <c r="D1310" s="20" t="s">
        <v>192</v>
      </c>
      <c r="E1310" s="8" t="s">
        <v>204</v>
      </c>
      <c r="F1310" s="9" t="s">
        <v>211</v>
      </c>
      <c r="G1310" s="54">
        <v>20</v>
      </c>
      <c r="H1310" s="54">
        <v>20</v>
      </c>
      <c r="I1310" s="54">
        <v>20</v>
      </c>
      <c r="J1310" s="54">
        <v>20</v>
      </c>
      <c r="K1310" s="54">
        <v>20</v>
      </c>
    </row>
    <row r="1311" spans="1:11" ht="63" x14ac:dyDescent="0.25">
      <c r="A1311" s="56"/>
      <c r="B1311" s="56"/>
      <c r="C1311" s="56"/>
      <c r="D1311" s="8" t="s">
        <v>1633</v>
      </c>
      <c r="E1311" s="8" t="s">
        <v>15</v>
      </c>
      <c r="F1311" s="9" t="s">
        <v>7</v>
      </c>
      <c r="G1311" s="40">
        <v>870.4</v>
      </c>
      <c r="H1311" s="40">
        <v>970.4</v>
      </c>
      <c r="I1311" s="40">
        <v>34350.120000000003</v>
      </c>
      <c r="J1311" s="40">
        <v>39500.19</v>
      </c>
      <c r="K1311" s="40">
        <v>50000.25</v>
      </c>
    </row>
    <row r="1312" spans="1:11" ht="173.25" x14ac:dyDescent="0.25">
      <c r="A1312" s="56"/>
      <c r="B1312" s="56"/>
      <c r="C1312" s="56"/>
      <c r="D1312" s="20" t="s">
        <v>192</v>
      </c>
      <c r="E1312" s="8" t="s">
        <v>205</v>
      </c>
      <c r="F1312" s="9" t="s">
        <v>61</v>
      </c>
      <c r="G1312" s="54">
        <v>40</v>
      </c>
      <c r="H1312" s="54" t="s">
        <v>165</v>
      </c>
      <c r="I1312" s="54" t="s">
        <v>165</v>
      </c>
      <c r="J1312" s="54" t="s">
        <v>165</v>
      </c>
      <c r="K1312" s="54" t="s">
        <v>165</v>
      </c>
    </row>
    <row r="1313" spans="1:11" ht="63" x14ac:dyDescent="0.25">
      <c r="A1313" s="56"/>
      <c r="B1313" s="56"/>
      <c r="C1313" s="56"/>
      <c r="D1313" s="8" t="s">
        <v>1633</v>
      </c>
      <c r="E1313" s="8" t="s">
        <v>15</v>
      </c>
      <c r="F1313" s="9" t="s">
        <v>7</v>
      </c>
      <c r="G1313" s="40">
        <v>100</v>
      </c>
      <c r="H1313" s="40">
        <v>0</v>
      </c>
      <c r="I1313" s="40">
        <v>0</v>
      </c>
      <c r="J1313" s="40">
        <v>0</v>
      </c>
      <c r="K1313" s="40">
        <v>0</v>
      </c>
    </row>
    <row r="1314" spans="1:11" ht="31.5" x14ac:dyDescent="0.25">
      <c r="A1314" s="56"/>
      <c r="B1314" s="56"/>
      <c r="C1314" s="56"/>
      <c r="D1314" s="20" t="s">
        <v>192</v>
      </c>
      <c r="E1314" s="8" t="s">
        <v>1634</v>
      </c>
      <c r="F1314" s="9" t="s">
        <v>68</v>
      </c>
      <c r="G1314" s="44">
        <v>74</v>
      </c>
      <c r="H1314" s="54" t="s">
        <v>165</v>
      </c>
      <c r="I1314" s="54" t="s">
        <v>165</v>
      </c>
      <c r="J1314" s="54" t="s">
        <v>165</v>
      </c>
      <c r="K1314" s="54" t="s">
        <v>165</v>
      </c>
    </row>
    <row r="1315" spans="1:11" ht="63" x14ac:dyDescent="0.25">
      <c r="A1315" s="56"/>
      <c r="B1315" s="56"/>
      <c r="C1315" s="56"/>
      <c r="D1315" s="8" t="s">
        <v>1635</v>
      </c>
      <c r="E1315" s="8" t="s">
        <v>15</v>
      </c>
      <c r="F1315" s="9" t="s">
        <v>7</v>
      </c>
      <c r="G1315" s="40">
        <v>0</v>
      </c>
      <c r="H1315" s="40">
        <v>0</v>
      </c>
      <c r="I1315" s="40">
        <v>0</v>
      </c>
      <c r="J1315" s="40">
        <v>0</v>
      </c>
      <c r="K1315" s="40">
        <v>0</v>
      </c>
    </row>
    <row r="1316" spans="1:11" ht="141.75" x14ac:dyDescent="0.25">
      <c r="A1316" s="56"/>
      <c r="B1316" s="56"/>
      <c r="C1316" s="56"/>
      <c r="D1316" s="20" t="s">
        <v>192</v>
      </c>
      <c r="E1316" s="8" t="s">
        <v>1636</v>
      </c>
      <c r="F1316" s="9" t="s">
        <v>1637</v>
      </c>
      <c r="G1316" s="40">
        <v>7772</v>
      </c>
      <c r="H1316" s="54" t="s">
        <v>165</v>
      </c>
      <c r="I1316" s="54" t="s">
        <v>165</v>
      </c>
      <c r="J1316" s="54" t="s">
        <v>165</v>
      </c>
      <c r="K1316" s="54" t="s">
        <v>165</v>
      </c>
    </row>
    <row r="1317" spans="1:11" ht="63" x14ac:dyDescent="0.25">
      <c r="A1317" s="56"/>
      <c r="B1317" s="56"/>
      <c r="C1317" s="56"/>
      <c r="D1317" s="8" t="s">
        <v>1635</v>
      </c>
      <c r="E1317" s="8" t="s">
        <v>15</v>
      </c>
      <c r="F1317" s="9" t="s">
        <v>7</v>
      </c>
      <c r="G1317" s="40">
        <v>20087.2</v>
      </c>
      <c r="H1317" s="40">
        <v>0</v>
      </c>
      <c r="I1317" s="40">
        <v>0</v>
      </c>
      <c r="J1317" s="40">
        <v>0</v>
      </c>
      <c r="K1317" s="40">
        <v>0</v>
      </c>
    </row>
    <row r="1318" spans="1:11" ht="78.75" x14ac:dyDescent="0.25">
      <c r="A1318" s="56"/>
      <c r="B1318" s="56"/>
      <c r="C1318" s="56"/>
      <c r="D1318" s="20" t="s">
        <v>192</v>
      </c>
      <c r="E1318" s="8" t="s">
        <v>206</v>
      </c>
      <c r="F1318" s="9" t="s">
        <v>61</v>
      </c>
      <c r="G1318" s="44">
        <v>17</v>
      </c>
      <c r="H1318" s="44">
        <v>27</v>
      </c>
      <c r="I1318" s="44">
        <v>27</v>
      </c>
      <c r="J1318" s="44">
        <v>27</v>
      </c>
      <c r="K1318" s="44">
        <v>27</v>
      </c>
    </row>
    <row r="1319" spans="1:11" ht="63" x14ac:dyDescent="0.25">
      <c r="A1319" s="56"/>
      <c r="B1319" s="56"/>
      <c r="C1319" s="56"/>
      <c r="D1319" s="8" t="s">
        <v>193</v>
      </c>
      <c r="E1319" s="8" t="s">
        <v>15</v>
      </c>
      <c r="F1319" s="9" t="s">
        <v>7</v>
      </c>
      <c r="G1319" s="40">
        <v>185.3</v>
      </c>
      <c r="H1319" s="40">
        <v>400.8</v>
      </c>
      <c r="I1319" s="40">
        <v>348.69</v>
      </c>
      <c r="J1319" s="40">
        <v>395.79</v>
      </c>
      <c r="K1319" s="40">
        <v>501</v>
      </c>
    </row>
    <row r="1320" spans="1:11" ht="110.25" x14ac:dyDescent="0.25">
      <c r="A1320" s="56"/>
      <c r="B1320" s="56"/>
      <c r="C1320" s="56"/>
      <c r="D1320" s="20" t="s">
        <v>192</v>
      </c>
      <c r="E1320" s="8" t="s">
        <v>207</v>
      </c>
      <c r="F1320" s="9" t="s">
        <v>61</v>
      </c>
      <c r="G1320" s="44">
        <v>5</v>
      </c>
      <c r="H1320" s="44">
        <v>5</v>
      </c>
      <c r="I1320" s="44">
        <v>5</v>
      </c>
      <c r="J1320" s="44">
        <v>5</v>
      </c>
      <c r="K1320" s="44">
        <v>5</v>
      </c>
    </row>
    <row r="1321" spans="1:11" ht="63" x14ac:dyDescent="0.25">
      <c r="A1321" s="56"/>
      <c r="B1321" s="56"/>
      <c r="C1321" s="56"/>
      <c r="D1321" s="8" t="s">
        <v>193</v>
      </c>
      <c r="E1321" s="8" t="s">
        <v>15</v>
      </c>
      <c r="F1321" s="9" t="s">
        <v>7</v>
      </c>
      <c r="G1321" s="40">
        <v>165</v>
      </c>
      <c r="H1321" s="40">
        <v>165</v>
      </c>
      <c r="I1321" s="40">
        <v>143.55000000000001</v>
      </c>
      <c r="J1321" s="40">
        <v>162.97</v>
      </c>
      <c r="K1321" s="40">
        <v>206.25</v>
      </c>
    </row>
    <row r="1322" spans="1:11" ht="110.25" x14ac:dyDescent="0.25">
      <c r="A1322" s="56"/>
      <c r="B1322" s="56"/>
      <c r="C1322" s="56"/>
      <c r="D1322" s="20" t="s">
        <v>192</v>
      </c>
      <c r="E1322" s="8" t="s">
        <v>208</v>
      </c>
      <c r="F1322" s="9" t="s">
        <v>61</v>
      </c>
      <c r="G1322" s="44">
        <v>26</v>
      </c>
      <c r="H1322" s="44">
        <v>31</v>
      </c>
      <c r="I1322" s="44">
        <v>31</v>
      </c>
      <c r="J1322" s="44">
        <v>31</v>
      </c>
      <c r="K1322" s="44">
        <v>31</v>
      </c>
    </row>
    <row r="1323" spans="1:11" ht="63" x14ac:dyDescent="0.25">
      <c r="A1323" s="56"/>
      <c r="B1323" s="56"/>
      <c r="C1323" s="56"/>
      <c r="D1323" s="8" t="s">
        <v>193</v>
      </c>
      <c r="E1323" s="8" t="s">
        <v>15</v>
      </c>
      <c r="F1323" s="9" t="s">
        <v>7</v>
      </c>
      <c r="G1323" s="40">
        <v>130</v>
      </c>
      <c r="H1323" s="40">
        <v>199.3</v>
      </c>
      <c r="I1323" s="40">
        <v>173.39</v>
      </c>
      <c r="J1323" s="40">
        <v>196.81</v>
      </c>
      <c r="K1323" s="40">
        <v>249.125</v>
      </c>
    </row>
    <row r="1324" spans="1:11" ht="54.75" customHeight="1" x14ac:dyDescent="0.25">
      <c r="A1324" s="56"/>
      <c r="B1324" s="56"/>
      <c r="C1324" s="56"/>
      <c r="D1324" s="20" t="s">
        <v>192</v>
      </c>
      <c r="E1324" s="8" t="s">
        <v>209</v>
      </c>
      <c r="F1324" s="9" t="s">
        <v>61</v>
      </c>
      <c r="G1324" s="44">
        <v>60</v>
      </c>
      <c r="H1324" s="44">
        <v>87</v>
      </c>
      <c r="I1324" s="44">
        <v>87</v>
      </c>
      <c r="J1324" s="44">
        <v>87</v>
      </c>
      <c r="K1324" s="44">
        <v>87</v>
      </c>
    </row>
    <row r="1325" spans="1:11" ht="63" x14ac:dyDescent="0.25">
      <c r="A1325" s="57"/>
      <c r="B1325" s="56"/>
      <c r="C1325" s="57"/>
      <c r="D1325" s="8" t="s">
        <v>193</v>
      </c>
      <c r="E1325" s="8" t="s">
        <v>15</v>
      </c>
      <c r="F1325" s="9" t="s">
        <v>7</v>
      </c>
      <c r="G1325" s="40">
        <v>596.5</v>
      </c>
      <c r="H1325" s="40">
        <v>842.9</v>
      </c>
      <c r="I1325" s="40">
        <v>733.3</v>
      </c>
      <c r="J1325" s="40">
        <v>832.35</v>
      </c>
      <c r="K1325" s="40">
        <v>1053.6199999999999</v>
      </c>
    </row>
    <row r="1326" spans="1:11" ht="31.5" x14ac:dyDescent="0.25">
      <c r="A1326" s="55" t="s">
        <v>977</v>
      </c>
      <c r="B1326" s="56"/>
      <c r="C1326" s="55" t="s">
        <v>213</v>
      </c>
      <c r="D1326" s="8" t="s">
        <v>214</v>
      </c>
      <c r="E1326" s="8" t="s">
        <v>212</v>
      </c>
      <c r="F1326" s="9" t="s">
        <v>130</v>
      </c>
      <c r="G1326" s="54">
        <v>39590</v>
      </c>
      <c r="H1326" s="54">
        <v>39590</v>
      </c>
      <c r="I1326" s="54">
        <v>39590</v>
      </c>
      <c r="J1326" s="54">
        <v>39590</v>
      </c>
      <c r="K1326" s="54">
        <v>39590</v>
      </c>
    </row>
    <row r="1327" spans="1:11" ht="63" x14ac:dyDescent="0.25">
      <c r="A1327" s="57"/>
      <c r="B1327" s="56"/>
      <c r="C1327" s="57"/>
      <c r="D1327" s="8" t="s">
        <v>215</v>
      </c>
      <c r="E1327" s="8" t="s">
        <v>15</v>
      </c>
      <c r="F1327" s="9" t="s">
        <v>6</v>
      </c>
      <c r="G1327" s="40">
        <v>3119.7</v>
      </c>
      <c r="H1327" s="40">
        <v>8171.9</v>
      </c>
      <c r="I1327" s="40">
        <v>3424</v>
      </c>
      <c r="J1327" s="40">
        <v>3432.1979999999999</v>
      </c>
      <c r="K1327" s="40">
        <v>3432.1979999999999</v>
      </c>
    </row>
    <row r="1328" spans="1:11" ht="31.5" x14ac:dyDescent="0.25">
      <c r="A1328" s="55" t="s">
        <v>978</v>
      </c>
      <c r="B1328" s="56"/>
      <c r="C1328" s="55" t="s">
        <v>163</v>
      </c>
      <c r="D1328" s="64" t="s">
        <v>152</v>
      </c>
      <c r="E1328" s="8" t="s">
        <v>216</v>
      </c>
      <c r="F1328" s="9" t="s">
        <v>130</v>
      </c>
      <c r="G1328" s="54">
        <v>187.9</v>
      </c>
      <c r="H1328" s="54">
        <v>115</v>
      </c>
      <c r="I1328" s="54">
        <v>115</v>
      </c>
      <c r="J1328" s="54">
        <v>115</v>
      </c>
      <c r="K1328" s="54">
        <v>115</v>
      </c>
    </row>
    <row r="1329" spans="1:15" ht="22.5" customHeight="1" x14ac:dyDescent="0.25">
      <c r="A1329" s="56"/>
      <c r="B1329" s="56"/>
      <c r="C1329" s="56"/>
      <c r="D1329" s="71"/>
      <c r="E1329" s="8" t="s">
        <v>164</v>
      </c>
      <c r="F1329" s="9" t="s">
        <v>130</v>
      </c>
      <c r="G1329" s="30">
        <v>2402.44</v>
      </c>
      <c r="H1329" s="54">
        <v>1236.8</v>
      </c>
      <c r="I1329" s="54">
        <v>1236.8</v>
      </c>
      <c r="J1329" s="54">
        <v>1236.8</v>
      </c>
      <c r="K1329" s="54">
        <v>1236.8</v>
      </c>
    </row>
    <row r="1330" spans="1:15" ht="51.75" customHeight="1" x14ac:dyDescent="0.25">
      <c r="A1330" s="56"/>
      <c r="B1330" s="56"/>
      <c r="C1330" s="56"/>
      <c r="D1330" s="65"/>
      <c r="E1330" s="8" t="s">
        <v>1638</v>
      </c>
      <c r="F1330" s="9" t="s">
        <v>130</v>
      </c>
      <c r="G1330" s="30" t="s">
        <v>165</v>
      </c>
      <c r="H1330" s="54">
        <v>1000</v>
      </c>
      <c r="I1330" s="54">
        <v>1000</v>
      </c>
      <c r="J1330" s="54">
        <v>1000</v>
      </c>
      <c r="K1330" s="54">
        <v>1000</v>
      </c>
    </row>
    <row r="1331" spans="1:15" ht="63" x14ac:dyDescent="0.25">
      <c r="A1331" s="57"/>
      <c r="B1331" s="56"/>
      <c r="C1331" s="57"/>
      <c r="D1331" s="8" t="s">
        <v>1650</v>
      </c>
      <c r="E1331" s="8" t="s">
        <v>15</v>
      </c>
      <c r="F1331" s="9" t="s">
        <v>7</v>
      </c>
      <c r="G1331" s="30">
        <v>3110.6</v>
      </c>
      <c r="H1331" s="40">
        <v>30770.1</v>
      </c>
      <c r="I1331" s="40">
        <v>12892.67</v>
      </c>
      <c r="J1331" s="40">
        <v>12923.4</v>
      </c>
      <c r="K1331" s="40">
        <v>12923.44</v>
      </c>
    </row>
    <row r="1332" spans="1:15" ht="47.25" customHeight="1" x14ac:dyDescent="0.25">
      <c r="A1332" s="55" t="s">
        <v>979</v>
      </c>
      <c r="B1332" s="56"/>
      <c r="C1332" s="55" t="s">
        <v>166</v>
      </c>
      <c r="D1332" s="8" t="s">
        <v>172</v>
      </c>
      <c r="E1332" s="8" t="s">
        <v>167</v>
      </c>
      <c r="F1332" s="9" t="s">
        <v>130</v>
      </c>
      <c r="G1332" s="30">
        <v>2100</v>
      </c>
      <c r="H1332" s="30">
        <v>2200</v>
      </c>
      <c r="I1332" s="30">
        <v>2200</v>
      </c>
      <c r="J1332" s="30">
        <v>2200</v>
      </c>
      <c r="K1332" s="30">
        <v>2200</v>
      </c>
    </row>
    <row r="1333" spans="1:15" ht="63" x14ac:dyDescent="0.25">
      <c r="A1333" s="56"/>
      <c r="B1333" s="56"/>
      <c r="C1333" s="56"/>
      <c r="D1333" s="8" t="s">
        <v>1650</v>
      </c>
      <c r="E1333" s="8" t="s">
        <v>15</v>
      </c>
      <c r="F1333" s="9" t="s">
        <v>7</v>
      </c>
      <c r="G1333" s="1">
        <v>15432.1</v>
      </c>
      <c r="H1333" s="1">
        <v>18927.900000000001</v>
      </c>
      <c r="I1333" s="1">
        <v>7930.79</v>
      </c>
      <c r="J1333" s="1">
        <v>7949.7</v>
      </c>
      <c r="K1333" s="1">
        <v>7949.71</v>
      </c>
    </row>
    <row r="1334" spans="1:15" ht="78.75" x14ac:dyDescent="0.25">
      <c r="A1334" s="56"/>
      <c r="B1334" s="56"/>
      <c r="C1334" s="56"/>
      <c r="D1334" s="8" t="s">
        <v>172</v>
      </c>
      <c r="E1334" s="8" t="s">
        <v>168</v>
      </c>
      <c r="F1334" s="9" t="s">
        <v>130</v>
      </c>
      <c r="G1334" s="30">
        <v>2971.7</v>
      </c>
      <c r="H1334" s="30">
        <v>1502.1</v>
      </c>
      <c r="I1334" s="30">
        <v>1502.1</v>
      </c>
      <c r="J1334" s="30">
        <v>1502.1</v>
      </c>
      <c r="K1334" s="30">
        <v>1502.1</v>
      </c>
    </row>
    <row r="1335" spans="1:15" ht="63" x14ac:dyDescent="0.25">
      <c r="A1335" s="56"/>
      <c r="B1335" s="56"/>
      <c r="C1335" s="56"/>
      <c r="D1335" s="8" t="s">
        <v>1650</v>
      </c>
      <c r="E1335" s="8" t="s">
        <v>15</v>
      </c>
      <c r="F1335" s="9" t="s">
        <v>7</v>
      </c>
      <c r="G1335" s="1">
        <v>6288.06</v>
      </c>
      <c r="H1335" s="1">
        <v>7209.98</v>
      </c>
      <c r="I1335" s="1">
        <v>3020.98</v>
      </c>
      <c r="J1335" s="1">
        <v>3028.19</v>
      </c>
      <c r="K1335" s="1">
        <v>3028.19</v>
      </c>
    </row>
    <row r="1336" spans="1:15" ht="78.75" x14ac:dyDescent="0.25">
      <c r="A1336" s="56"/>
      <c r="B1336" s="56"/>
      <c r="C1336" s="56"/>
      <c r="D1336" s="8" t="s">
        <v>172</v>
      </c>
      <c r="E1336" s="8" t="s">
        <v>169</v>
      </c>
      <c r="F1336" s="9" t="s">
        <v>130</v>
      </c>
      <c r="G1336" s="30">
        <v>3769.8</v>
      </c>
      <c r="H1336" s="30">
        <v>1713.9</v>
      </c>
      <c r="I1336" s="30">
        <v>1713.9</v>
      </c>
      <c r="J1336" s="30">
        <v>1713.9</v>
      </c>
      <c r="K1336" s="30">
        <v>1713.9</v>
      </c>
    </row>
    <row r="1337" spans="1:15" ht="63" x14ac:dyDescent="0.25">
      <c r="A1337" s="56"/>
      <c r="B1337" s="56"/>
      <c r="C1337" s="56"/>
      <c r="D1337" s="8" t="s">
        <v>1650</v>
      </c>
      <c r="E1337" s="8" t="s">
        <v>15</v>
      </c>
      <c r="F1337" s="9" t="s">
        <v>7</v>
      </c>
      <c r="G1337" s="1">
        <v>4523.76</v>
      </c>
      <c r="H1337" s="1">
        <v>3940.319</v>
      </c>
      <c r="I1337" s="1">
        <v>1650.99</v>
      </c>
      <c r="J1337" s="1">
        <v>1654.9</v>
      </c>
      <c r="K1337" s="1">
        <v>1654.93</v>
      </c>
    </row>
    <row r="1338" spans="1:15" ht="47.25" x14ac:dyDescent="0.25">
      <c r="A1338" s="56"/>
      <c r="B1338" s="56"/>
      <c r="C1338" s="56"/>
      <c r="D1338" s="8" t="s">
        <v>172</v>
      </c>
      <c r="E1338" s="8" t="s">
        <v>170</v>
      </c>
      <c r="F1338" s="9" t="s">
        <v>130</v>
      </c>
      <c r="G1338" s="30">
        <v>2487.3000000000002</v>
      </c>
      <c r="H1338" s="30">
        <v>2387</v>
      </c>
      <c r="I1338" s="30">
        <v>2387</v>
      </c>
      <c r="J1338" s="30">
        <v>2387</v>
      </c>
      <c r="K1338" s="30">
        <v>2387</v>
      </c>
    </row>
    <row r="1339" spans="1:15" ht="63" x14ac:dyDescent="0.25">
      <c r="A1339" s="56"/>
      <c r="B1339" s="56"/>
      <c r="C1339" s="56"/>
      <c r="D1339" s="8" t="s">
        <v>1650</v>
      </c>
      <c r="E1339" s="8" t="s">
        <v>15</v>
      </c>
      <c r="F1339" s="9" t="s">
        <v>7</v>
      </c>
      <c r="G1339" s="1">
        <v>3235.12</v>
      </c>
      <c r="H1339" s="1">
        <v>9649.4</v>
      </c>
      <c r="I1339" s="1">
        <v>4043.09</v>
      </c>
      <c r="J1339" s="1">
        <v>4052.75</v>
      </c>
      <c r="K1339" s="1">
        <v>4052.75</v>
      </c>
    </row>
    <row r="1340" spans="1:15" ht="24.75" customHeight="1" x14ac:dyDescent="0.25">
      <c r="A1340" s="56"/>
      <c r="B1340" s="56"/>
      <c r="C1340" s="56"/>
      <c r="D1340" s="8" t="s">
        <v>172</v>
      </c>
      <c r="E1340" s="8" t="s">
        <v>171</v>
      </c>
      <c r="F1340" s="9" t="s">
        <v>130</v>
      </c>
      <c r="G1340" s="30">
        <v>2358</v>
      </c>
      <c r="H1340" s="30">
        <v>2765</v>
      </c>
      <c r="I1340" s="30">
        <v>2765</v>
      </c>
      <c r="J1340" s="30">
        <v>2765</v>
      </c>
      <c r="K1340" s="30">
        <v>2765</v>
      </c>
    </row>
    <row r="1341" spans="1:15" ht="63" x14ac:dyDescent="0.25">
      <c r="A1341" s="56"/>
      <c r="B1341" s="56"/>
      <c r="C1341" s="56"/>
      <c r="D1341" s="8" t="s">
        <v>1650</v>
      </c>
      <c r="E1341" s="8" t="s">
        <v>15</v>
      </c>
      <c r="F1341" s="9" t="s">
        <v>7</v>
      </c>
      <c r="G1341" s="1">
        <v>3235.12</v>
      </c>
      <c r="H1341" s="1">
        <v>15037.3</v>
      </c>
      <c r="I1341" s="1">
        <v>6368.86</v>
      </c>
      <c r="J1341" s="1">
        <v>6683.48</v>
      </c>
      <c r="K1341" s="1">
        <v>6683.48</v>
      </c>
      <c r="L1341" s="2"/>
      <c r="M1341" s="3"/>
      <c r="N1341" s="3"/>
      <c r="O1341" s="3"/>
    </row>
    <row r="1342" spans="1:15" ht="15.75" x14ac:dyDescent="0.25">
      <c r="A1342" s="56"/>
      <c r="B1342" s="56"/>
      <c r="C1342" s="56"/>
      <c r="D1342" s="8" t="s">
        <v>172</v>
      </c>
      <c r="E1342" s="8" t="s">
        <v>1655</v>
      </c>
      <c r="F1342" s="9"/>
      <c r="G1342" s="1" t="s">
        <v>1654</v>
      </c>
      <c r="H1342" s="1" t="s">
        <v>1654</v>
      </c>
      <c r="I1342" s="1" t="s">
        <v>1654</v>
      </c>
      <c r="J1342" s="1" t="s">
        <v>1654</v>
      </c>
      <c r="K1342" s="1" t="s">
        <v>1654</v>
      </c>
      <c r="L1342" s="3"/>
      <c r="M1342" s="3"/>
      <c r="N1342" s="3"/>
      <c r="O1342" s="3"/>
    </row>
    <row r="1343" spans="1:15" ht="63" x14ac:dyDescent="0.25">
      <c r="A1343" s="56"/>
      <c r="B1343" s="56"/>
      <c r="C1343" s="56"/>
      <c r="D1343" s="8" t="s">
        <v>1658</v>
      </c>
      <c r="E1343" s="8" t="s">
        <v>15</v>
      </c>
      <c r="F1343" s="9" t="s">
        <v>6</v>
      </c>
      <c r="G1343" s="1">
        <v>0</v>
      </c>
      <c r="H1343" s="1">
        <v>248.46899999999999</v>
      </c>
      <c r="I1343" s="1">
        <v>195.3</v>
      </c>
      <c r="J1343" s="1">
        <v>195.3</v>
      </c>
      <c r="K1343" s="1">
        <v>195.3</v>
      </c>
      <c r="L1343" s="3"/>
      <c r="M1343" s="3"/>
      <c r="N1343" s="3"/>
      <c r="O1343" s="3"/>
    </row>
    <row r="1344" spans="1:15" ht="47.25" x14ac:dyDescent="0.25">
      <c r="A1344" s="56"/>
      <c r="B1344" s="56"/>
      <c r="C1344" s="56"/>
      <c r="D1344" s="8" t="s">
        <v>172</v>
      </c>
      <c r="E1344" s="8" t="s">
        <v>1639</v>
      </c>
      <c r="F1344" s="9" t="s">
        <v>130</v>
      </c>
      <c r="G1344" s="30">
        <v>2012.2</v>
      </c>
      <c r="H1344" s="30">
        <v>2317.8000000000002</v>
      </c>
      <c r="I1344" s="30">
        <v>2317.8000000000002</v>
      </c>
      <c r="J1344" s="30">
        <v>2317.8000000000002</v>
      </c>
      <c r="K1344" s="30">
        <v>2317.8000000000002</v>
      </c>
    </row>
    <row r="1345" spans="1:16" ht="63" x14ac:dyDescent="0.25">
      <c r="A1345" s="57"/>
      <c r="B1345" s="56"/>
      <c r="C1345" s="57"/>
      <c r="D1345" s="8" t="s">
        <v>173</v>
      </c>
      <c r="E1345" s="8" t="s">
        <v>15</v>
      </c>
      <c r="F1345" s="9" t="s">
        <v>7</v>
      </c>
      <c r="G1345" s="1">
        <v>6125.8320000000003</v>
      </c>
      <c r="H1345" s="1">
        <v>9592.2999999999993</v>
      </c>
      <c r="I1345" s="1">
        <v>30887.200000000001</v>
      </c>
      <c r="J1345" s="1">
        <v>31174.9</v>
      </c>
      <c r="K1345" s="1">
        <v>31174.9</v>
      </c>
    </row>
    <row r="1346" spans="1:16" ht="15.75" x14ac:dyDescent="0.25">
      <c r="A1346" s="55" t="s">
        <v>980</v>
      </c>
      <c r="B1346" s="56"/>
      <c r="C1346" s="55" t="s">
        <v>174</v>
      </c>
      <c r="D1346" s="8" t="s">
        <v>179</v>
      </c>
      <c r="E1346" s="8" t="s">
        <v>1640</v>
      </c>
      <c r="F1346" s="9" t="s">
        <v>175</v>
      </c>
      <c r="G1346" s="30">
        <v>11334</v>
      </c>
      <c r="H1346" s="30">
        <v>17515.5</v>
      </c>
      <c r="I1346" s="30">
        <v>17515.5</v>
      </c>
      <c r="J1346" s="30">
        <v>17515.5</v>
      </c>
      <c r="K1346" s="30">
        <v>17515.5</v>
      </c>
    </row>
    <row r="1347" spans="1:16" ht="63" x14ac:dyDescent="0.25">
      <c r="A1347" s="56"/>
      <c r="B1347" s="56"/>
      <c r="C1347" s="56"/>
      <c r="D1347" s="8" t="s">
        <v>1641</v>
      </c>
      <c r="E1347" s="8" t="s">
        <v>15</v>
      </c>
      <c r="F1347" s="9" t="s">
        <v>7</v>
      </c>
      <c r="G1347" s="1">
        <v>8540.9779999999992</v>
      </c>
      <c r="H1347" s="1">
        <v>20694.599999999999</v>
      </c>
      <c r="I1347" s="1">
        <v>66636.600000000006</v>
      </c>
      <c r="J1347" s="1">
        <v>67257.45</v>
      </c>
      <c r="K1347" s="1">
        <v>67257.45</v>
      </c>
    </row>
    <row r="1348" spans="1:16" ht="31.5" x14ac:dyDescent="0.25">
      <c r="A1348" s="56"/>
      <c r="B1348" s="56"/>
      <c r="C1348" s="56"/>
      <c r="D1348" s="64" t="s">
        <v>179</v>
      </c>
      <c r="E1348" s="8" t="s">
        <v>176</v>
      </c>
      <c r="F1348" s="9" t="s">
        <v>130</v>
      </c>
      <c r="G1348" s="30">
        <v>93.2</v>
      </c>
      <c r="H1348" s="30">
        <v>172.2</v>
      </c>
      <c r="I1348" s="30">
        <v>172.2</v>
      </c>
      <c r="J1348" s="30">
        <v>172.2</v>
      </c>
      <c r="K1348" s="30">
        <v>172.2</v>
      </c>
    </row>
    <row r="1349" spans="1:16" ht="31.5" x14ac:dyDescent="0.25">
      <c r="A1349" s="56"/>
      <c r="B1349" s="56"/>
      <c r="C1349" s="56"/>
      <c r="D1349" s="71"/>
      <c r="E1349" s="8" t="s">
        <v>177</v>
      </c>
      <c r="F1349" s="9" t="s">
        <v>130</v>
      </c>
      <c r="G1349" s="30">
        <v>70.2</v>
      </c>
      <c r="H1349" s="30">
        <v>61.8</v>
      </c>
      <c r="I1349" s="30">
        <v>61.8</v>
      </c>
      <c r="J1349" s="30">
        <v>61.8</v>
      </c>
      <c r="K1349" s="30">
        <v>61.8</v>
      </c>
    </row>
    <row r="1350" spans="1:16" ht="31.5" x14ac:dyDescent="0.25">
      <c r="A1350" s="56"/>
      <c r="B1350" s="56"/>
      <c r="C1350" s="56"/>
      <c r="D1350" s="65"/>
      <c r="E1350" s="8" t="s">
        <v>178</v>
      </c>
      <c r="F1350" s="9" t="s">
        <v>130</v>
      </c>
      <c r="G1350" s="30">
        <v>50.1</v>
      </c>
      <c r="H1350" s="30">
        <v>50.1</v>
      </c>
      <c r="I1350" s="30">
        <v>50.1</v>
      </c>
      <c r="J1350" s="30">
        <v>50.1</v>
      </c>
      <c r="K1350" s="30">
        <v>50.1</v>
      </c>
    </row>
    <row r="1351" spans="1:16" ht="63" x14ac:dyDescent="0.25">
      <c r="A1351" s="57"/>
      <c r="B1351" s="56"/>
      <c r="C1351" s="57"/>
      <c r="D1351" s="27" t="s">
        <v>1641</v>
      </c>
      <c r="E1351" s="8" t="s">
        <v>15</v>
      </c>
      <c r="F1351" s="9" t="s">
        <v>6</v>
      </c>
      <c r="G1351" s="1">
        <v>151.63</v>
      </c>
      <c r="H1351" s="1">
        <v>161.4</v>
      </c>
      <c r="I1351" s="1">
        <v>519.70000000000005</v>
      </c>
      <c r="J1351" s="1">
        <v>524.54999999999995</v>
      </c>
      <c r="K1351" s="1">
        <v>524.54999999999995</v>
      </c>
    </row>
    <row r="1352" spans="1:16" ht="31.5" x14ac:dyDescent="0.25">
      <c r="A1352" s="55" t="s">
        <v>981</v>
      </c>
      <c r="B1352" s="56"/>
      <c r="C1352" s="55" t="s">
        <v>180</v>
      </c>
      <c r="D1352" s="8" t="s">
        <v>185</v>
      </c>
      <c r="E1352" s="8" t="s">
        <v>181</v>
      </c>
      <c r="F1352" s="9" t="s">
        <v>1643</v>
      </c>
      <c r="G1352" s="30">
        <v>1671</v>
      </c>
      <c r="H1352" s="30">
        <v>1671</v>
      </c>
      <c r="I1352" s="30">
        <v>1671</v>
      </c>
      <c r="J1352" s="30">
        <v>1671</v>
      </c>
      <c r="K1352" s="30">
        <v>1671</v>
      </c>
    </row>
    <row r="1353" spans="1:16" ht="63" x14ac:dyDescent="0.25">
      <c r="A1353" s="56"/>
      <c r="B1353" s="56"/>
      <c r="C1353" s="56"/>
      <c r="D1353" s="27" t="s">
        <v>1641</v>
      </c>
      <c r="E1353" s="8" t="s">
        <v>15</v>
      </c>
      <c r="F1353" s="9" t="s">
        <v>7</v>
      </c>
      <c r="G1353" s="1">
        <v>9814.2999999999993</v>
      </c>
      <c r="H1353" s="1">
        <v>12547.4</v>
      </c>
      <c r="I1353" s="1">
        <v>40581.18</v>
      </c>
      <c r="J1353" s="1">
        <v>41054.1</v>
      </c>
      <c r="K1353" s="1">
        <v>41054.1</v>
      </c>
    </row>
    <row r="1354" spans="1:16" ht="15.75" x14ac:dyDescent="0.25">
      <c r="A1354" s="56"/>
      <c r="B1354" s="56"/>
      <c r="C1354" s="56"/>
      <c r="D1354" s="27" t="s">
        <v>185</v>
      </c>
      <c r="E1354" s="8" t="s">
        <v>1655</v>
      </c>
      <c r="F1354" s="9"/>
      <c r="G1354" s="1" t="s">
        <v>1654</v>
      </c>
      <c r="H1354" s="1" t="s">
        <v>1654</v>
      </c>
      <c r="I1354" s="1" t="s">
        <v>1654</v>
      </c>
      <c r="J1354" s="1" t="s">
        <v>1654</v>
      </c>
      <c r="K1354" s="1" t="s">
        <v>1654</v>
      </c>
    </row>
    <row r="1355" spans="1:16" ht="63" x14ac:dyDescent="0.25">
      <c r="A1355" s="56"/>
      <c r="B1355" s="56"/>
      <c r="C1355" s="56"/>
      <c r="D1355" s="27" t="s">
        <v>1659</v>
      </c>
      <c r="E1355" s="8" t="s">
        <v>15</v>
      </c>
      <c r="F1355" s="9" t="s">
        <v>6</v>
      </c>
      <c r="G1355" s="1">
        <v>0</v>
      </c>
      <c r="H1355" s="1">
        <v>1290.604</v>
      </c>
      <c r="I1355" s="1">
        <v>1000</v>
      </c>
      <c r="J1355" s="1">
        <v>1000</v>
      </c>
      <c r="K1355" s="1">
        <v>1000</v>
      </c>
    </row>
    <row r="1356" spans="1:16" ht="31.5" x14ac:dyDescent="0.25">
      <c r="A1356" s="56"/>
      <c r="B1356" s="56"/>
      <c r="C1356" s="56"/>
      <c r="D1356" s="8" t="s">
        <v>185</v>
      </c>
      <c r="E1356" s="8" t="s">
        <v>182</v>
      </c>
      <c r="F1356" s="9" t="s">
        <v>1643</v>
      </c>
      <c r="G1356" s="30">
        <v>903</v>
      </c>
      <c r="H1356" s="30">
        <v>1485</v>
      </c>
      <c r="I1356" s="30">
        <v>1485</v>
      </c>
      <c r="J1356" s="30">
        <v>1485</v>
      </c>
      <c r="K1356" s="30">
        <v>1485</v>
      </c>
    </row>
    <row r="1357" spans="1:16" ht="63" x14ac:dyDescent="0.25">
      <c r="A1357" s="56"/>
      <c r="B1357" s="56"/>
      <c r="C1357" s="56"/>
      <c r="D1357" s="8" t="s">
        <v>1642</v>
      </c>
      <c r="E1357" s="8" t="s">
        <v>15</v>
      </c>
      <c r="F1357" s="9" t="s">
        <v>7</v>
      </c>
      <c r="G1357" s="1">
        <v>249.9</v>
      </c>
      <c r="H1357" s="1">
        <v>593.4</v>
      </c>
      <c r="I1357" s="1">
        <v>534.05999999999995</v>
      </c>
      <c r="J1357" s="1">
        <v>534.05999999999995</v>
      </c>
      <c r="K1357" s="1">
        <v>534.05999999999995</v>
      </c>
    </row>
    <row r="1358" spans="1:16" ht="31.5" x14ac:dyDescent="0.25">
      <c r="A1358" s="56"/>
      <c r="B1358" s="56"/>
      <c r="C1358" s="56"/>
      <c r="D1358" s="8" t="s">
        <v>185</v>
      </c>
      <c r="E1358" s="8" t="s">
        <v>183</v>
      </c>
      <c r="F1358" s="9" t="s">
        <v>184</v>
      </c>
      <c r="G1358" s="30">
        <v>33270</v>
      </c>
      <c r="H1358" s="1" t="s">
        <v>1654</v>
      </c>
      <c r="I1358" s="1" t="s">
        <v>1654</v>
      </c>
      <c r="J1358" s="1" t="s">
        <v>1654</v>
      </c>
      <c r="K1358" s="1" t="s">
        <v>1654</v>
      </c>
    </row>
    <row r="1359" spans="1:16" ht="63" x14ac:dyDescent="0.25">
      <c r="A1359" s="56"/>
      <c r="B1359" s="56"/>
      <c r="C1359" s="56"/>
      <c r="D1359" s="8" t="s">
        <v>1642</v>
      </c>
      <c r="E1359" s="8" t="s">
        <v>15</v>
      </c>
      <c r="F1359" s="9" t="s">
        <v>7</v>
      </c>
      <c r="G1359" s="1">
        <v>10200.1</v>
      </c>
      <c r="H1359" s="1">
        <v>22700.400000000001</v>
      </c>
      <c r="I1359" s="1">
        <v>13001.8</v>
      </c>
      <c r="J1359" s="1">
        <v>13145.3</v>
      </c>
      <c r="K1359" s="1">
        <v>13145.3</v>
      </c>
      <c r="L1359" s="2"/>
      <c r="M1359" s="3"/>
      <c r="N1359" s="3"/>
      <c r="O1359" s="3"/>
      <c r="P1359" s="3"/>
    </row>
    <row r="1360" spans="1:16" ht="44.25" customHeight="1" x14ac:dyDescent="0.25">
      <c r="A1360" s="56"/>
      <c r="B1360" s="56"/>
      <c r="C1360" s="56"/>
      <c r="D1360" s="8" t="s">
        <v>185</v>
      </c>
      <c r="E1360" s="8" t="s">
        <v>1644</v>
      </c>
      <c r="F1360" s="9" t="s">
        <v>1643</v>
      </c>
      <c r="G1360" s="1" t="s">
        <v>165</v>
      </c>
      <c r="H1360" s="1">
        <v>80</v>
      </c>
      <c r="I1360" s="1">
        <v>80</v>
      </c>
      <c r="J1360" s="1">
        <v>80</v>
      </c>
      <c r="K1360" s="1">
        <v>80</v>
      </c>
    </row>
    <row r="1361" spans="1:11" ht="44.25" customHeight="1" x14ac:dyDescent="0.25">
      <c r="A1361" s="56"/>
      <c r="B1361" s="56"/>
      <c r="C1361" s="56"/>
      <c r="D1361" s="8" t="s">
        <v>1642</v>
      </c>
      <c r="E1361" s="8" t="s">
        <v>15</v>
      </c>
      <c r="F1361" s="9" t="s">
        <v>7</v>
      </c>
      <c r="G1361" s="1">
        <v>0</v>
      </c>
      <c r="H1361" s="1">
        <v>914.6</v>
      </c>
      <c r="I1361" s="1">
        <v>823.1</v>
      </c>
      <c r="J1361" s="1">
        <v>823.1</v>
      </c>
      <c r="K1361" s="1">
        <v>823.1</v>
      </c>
    </row>
    <row r="1362" spans="1:11" ht="44.25" customHeight="1" x14ac:dyDescent="0.25">
      <c r="A1362" s="56"/>
      <c r="B1362" s="56"/>
      <c r="C1362" s="56"/>
      <c r="D1362" s="8" t="s">
        <v>185</v>
      </c>
      <c r="E1362" s="8" t="s">
        <v>1655</v>
      </c>
      <c r="F1362" s="8"/>
      <c r="G1362" s="1" t="s">
        <v>1654</v>
      </c>
      <c r="H1362" s="1" t="s">
        <v>1654</v>
      </c>
      <c r="I1362" s="1" t="s">
        <v>1654</v>
      </c>
      <c r="J1362" s="1" t="s">
        <v>1654</v>
      </c>
      <c r="K1362" s="1" t="s">
        <v>1654</v>
      </c>
    </row>
    <row r="1363" spans="1:11" ht="63" x14ac:dyDescent="0.25">
      <c r="A1363" s="57"/>
      <c r="B1363" s="56"/>
      <c r="C1363" s="57"/>
      <c r="D1363" s="8" t="s">
        <v>1660</v>
      </c>
      <c r="E1363" s="8" t="s">
        <v>15</v>
      </c>
      <c r="F1363" s="1" t="s">
        <v>7</v>
      </c>
      <c r="G1363" s="1">
        <v>0</v>
      </c>
      <c r="H1363" s="1">
        <v>447.91899999999998</v>
      </c>
      <c r="I1363" s="1">
        <v>523.5</v>
      </c>
      <c r="J1363" s="1">
        <v>523.5</v>
      </c>
      <c r="K1363" s="1">
        <v>523.5</v>
      </c>
    </row>
    <row r="1364" spans="1:11" ht="31.5" customHeight="1" x14ac:dyDescent="0.25">
      <c r="A1364" s="55" t="s">
        <v>982</v>
      </c>
      <c r="B1364" s="56"/>
      <c r="C1364" s="69" t="s">
        <v>217</v>
      </c>
      <c r="D1364" s="8" t="s">
        <v>219</v>
      </c>
      <c r="E1364" s="8" t="s">
        <v>218</v>
      </c>
      <c r="F1364" s="9" t="s">
        <v>130</v>
      </c>
      <c r="G1364" s="30">
        <v>12172.2</v>
      </c>
      <c r="H1364" s="30">
        <v>14191</v>
      </c>
      <c r="I1364" s="30">
        <v>14191</v>
      </c>
      <c r="J1364" s="30">
        <v>14191</v>
      </c>
      <c r="K1364" s="30">
        <v>14191</v>
      </c>
    </row>
    <row r="1365" spans="1:11" ht="63" x14ac:dyDescent="0.25">
      <c r="A1365" s="57"/>
      <c r="B1365" s="56"/>
      <c r="C1365" s="69"/>
      <c r="D1365" s="8" t="s">
        <v>1651</v>
      </c>
      <c r="E1365" s="8" t="s">
        <v>15</v>
      </c>
      <c r="F1365" s="9" t="s">
        <v>7</v>
      </c>
      <c r="G1365" s="1">
        <v>8138.95</v>
      </c>
      <c r="H1365" s="1">
        <v>22628.400000000001</v>
      </c>
      <c r="I1365" s="1">
        <v>116931.3</v>
      </c>
      <c r="J1365" s="1">
        <v>69400.800000000003</v>
      </c>
      <c r="K1365" s="1">
        <v>69400.800000000003</v>
      </c>
    </row>
    <row r="1366" spans="1:11" ht="31.5" x14ac:dyDescent="0.25">
      <c r="A1366" s="55" t="s">
        <v>1663</v>
      </c>
      <c r="B1366" s="56"/>
      <c r="C1366" s="55" t="s">
        <v>186</v>
      </c>
      <c r="D1366" s="8" t="s">
        <v>188</v>
      </c>
      <c r="E1366" s="8" t="s">
        <v>220</v>
      </c>
      <c r="F1366" s="9" t="s">
        <v>130</v>
      </c>
      <c r="G1366" s="30">
        <v>9627124</v>
      </c>
      <c r="H1366" s="30">
        <v>9627124</v>
      </c>
      <c r="I1366" s="30">
        <v>9627124</v>
      </c>
      <c r="J1366" s="30">
        <v>9627124</v>
      </c>
      <c r="K1366" s="30">
        <v>9627124</v>
      </c>
    </row>
    <row r="1367" spans="1:11" ht="63" x14ac:dyDescent="0.25">
      <c r="A1367" s="56"/>
      <c r="B1367" s="56"/>
      <c r="C1367" s="56"/>
      <c r="D1367" s="8" t="s">
        <v>193</v>
      </c>
      <c r="E1367" s="8" t="s">
        <v>15</v>
      </c>
      <c r="F1367" s="9" t="s">
        <v>7</v>
      </c>
      <c r="G1367" s="1">
        <v>146703.01</v>
      </c>
      <c r="H1367" s="1">
        <v>150428.34700000001</v>
      </c>
      <c r="I1367" s="1">
        <v>130422.66</v>
      </c>
      <c r="J1367" s="1">
        <v>150036.5</v>
      </c>
      <c r="K1367" s="1">
        <v>188035.3</v>
      </c>
    </row>
    <row r="1368" spans="1:11" ht="31.5" x14ac:dyDescent="0.25">
      <c r="A1368" s="56"/>
      <c r="B1368" s="56"/>
      <c r="C1368" s="56"/>
      <c r="D1368" s="8" t="s">
        <v>188</v>
      </c>
      <c r="E1368" s="8" t="s">
        <v>187</v>
      </c>
      <c r="F1368" s="9" t="s">
        <v>130</v>
      </c>
      <c r="G1368" s="30">
        <v>22987699</v>
      </c>
      <c r="H1368" s="30">
        <v>22987699</v>
      </c>
      <c r="I1368" s="30">
        <v>22987699</v>
      </c>
      <c r="J1368" s="30">
        <v>22987699</v>
      </c>
      <c r="K1368" s="30">
        <v>22987699</v>
      </c>
    </row>
    <row r="1369" spans="1:11" ht="63" x14ac:dyDescent="0.25">
      <c r="A1369" s="57"/>
      <c r="B1369" s="56"/>
      <c r="C1369" s="57"/>
      <c r="D1369" s="8" t="s">
        <v>1645</v>
      </c>
      <c r="E1369" s="8" t="s">
        <v>15</v>
      </c>
      <c r="F1369" s="9" t="s">
        <v>7</v>
      </c>
      <c r="G1369" s="1">
        <v>148258.45000000001</v>
      </c>
      <c r="H1369" s="1">
        <v>53000</v>
      </c>
      <c r="I1369" s="1">
        <v>46110</v>
      </c>
      <c r="J1369" s="1">
        <v>52337.5</v>
      </c>
      <c r="K1369" s="1">
        <v>66250</v>
      </c>
    </row>
    <row r="1370" spans="1:11" ht="63" customHeight="1" x14ac:dyDescent="0.25">
      <c r="A1370" s="55" t="s">
        <v>1664</v>
      </c>
      <c r="B1370" s="56"/>
      <c r="C1370" s="55" t="s">
        <v>144</v>
      </c>
      <c r="D1370" s="8" t="s">
        <v>145</v>
      </c>
      <c r="E1370" s="8" t="s">
        <v>1646</v>
      </c>
      <c r="F1370" s="9" t="s">
        <v>130</v>
      </c>
      <c r="G1370" s="1">
        <v>1206350.5</v>
      </c>
      <c r="H1370" s="1">
        <v>1206350.5</v>
      </c>
      <c r="I1370" s="1">
        <v>1206350.5</v>
      </c>
      <c r="J1370" s="1">
        <v>1206350.5</v>
      </c>
      <c r="K1370" s="1">
        <v>1206350.5</v>
      </c>
    </row>
    <row r="1371" spans="1:11" ht="52.5" customHeight="1" x14ac:dyDescent="0.25">
      <c r="A1371" s="56"/>
      <c r="B1371" s="56"/>
      <c r="C1371" s="56"/>
      <c r="D1371" s="8" t="s">
        <v>1647</v>
      </c>
      <c r="E1371" s="64" t="s">
        <v>15</v>
      </c>
      <c r="F1371" s="55" t="s">
        <v>7</v>
      </c>
      <c r="G1371" s="1">
        <v>2541.6</v>
      </c>
      <c r="H1371" s="1">
        <v>4727</v>
      </c>
      <c r="I1371" s="1">
        <v>4456.3999999999996</v>
      </c>
      <c r="J1371" s="1">
        <v>4724.5</v>
      </c>
      <c r="K1371" s="1">
        <v>4722.3</v>
      </c>
    </row>
    <row r="1372" spans="1:11" ht="15.75" x14ac:dyDescent="0.25">
      <c r="A1372" s="57"/>
      <c r="B1372" s="56"/>
      <c r="C1372" s="57"/>
      <c r="D1372" s="8" t="s">
        <v>1648</v>
      </c>
      <c r="E1372" s="65"/>
      <c r="F1372" s="57"/>
      <c r="G1372" s="1">
        <v>0</v>
      </c>
      <c r="H1372" s="1">
        <v>10770.3</v>
      </c>
      <c r="I1372" s="1">
        <v>0</v>
      </c>
      <c r="J1372" s="1">
        <v>10756.1</v>
      </c>
      <c r="K1372" s="1">
        <v>8140.2</v>
      </c>
    </row>
    <row r="1373" spans="1:11" ht="63" customHeight="1" x14ac:dyDescent="0.25">
      <c r="A1373" s="61" t="s">
        <v>189</v>
      </c>
      <c r="B1373" s="62"/>
      <c r="C1373" s="62"/>
      <c r="D1373" s="63"/>
      <c r="E1373" s="13" t="s">
        <v>16</v>
      </c>
      <c r="F1373" s="14" t="s">
        <v>7</v>
      </c>
      <c r="G1373" s="15">
        <f>G1281+G1283+G1285+G1287+G1289+G1291+G1293+G1295+G1297+G1299+G1301+G1303+G1307+G1311+G1313+G1315+G1317+G1319+G1321+G1323+G1325+G1327+G1331+G1333+G1335+G1337+G1339+G1341+G1345+G1347+G1351+G1353+G1357+G1359+G1361+G1365+G1367+G1369+G1372</f>
        <v>510307.72600000002</v>
      </c>
      <c r="H1373" s="15">
        <f>H1281+H1283+H1285+H1287+H1289+H1291+H1293+H1295+H1297+H1299+H1301+H1303+H1307+H1311+H1313+H1315+H1317+H1319+H1321+H1323+H1325+H1327+H1331+H1333+H1335+H1337+H1339+H1341+H1345+H1347+H1351+H1353+H1357+H1359+H1361+H1365+H1367+H1369+H1372</f>
        <v>542952.93599999999</v>
      </c>
      <c r="I1373" s="15">
        <f>I1281+I1283+I1285+I1287+I1289+I1291+I1293+I1295+I1297+I1299+I1301+I1303+I1307+I1311+I1313+I1315+I1317+I1319+I1321+I1323+I1325+I1327+I1331+I1333+I1335+I1337+I1339+I1341+I1345+I1347+I1351+I1353+I1357+I1359+I1361+I1365+I1367+I1369+I1372+I1305+I1309+I1343+I1355+I1363+I1371+I1372</f>
        <v>775542.21000000008</v>
      </c>
      <c r="J1373" s="15">
        <f>J1281+J1283+J1285+J1287+J1289+J1291+J1293+J1295+J1297+J1299+J1301+J1303+J1307+J1311+J1313+J1315+J1317+J1319+J1321+J1323+J1325+J1327+J1331+J1333+J1335+J1337+J1339+J1341+J1345+J1347+J1351+J1353+J1357+J1359+J1361+J1365+J1367+J1369+J1372+J1305+J1309+J1343+J1355+J1363+J1371</f>
        <v>795887.12800000003</v>
      </c>
      <c r="K1373" s="15">
        <f>K1281+K1283+K1285+K1287+K1289+K1291+K1293+K1295+K1297+K1299+K1301+K1303+K1307+K1311+K1313+K1315+K1317+K1319+K1321+K1323+K1325+K1327+K1331+K1333+K1335+K1337+K1339+K1341+K1345+K1347+K1351+K1353+K1357+K1359+K1361+K1365+K1367+K1369+K1372+K1305+K1309+K1343+K1355+K1363+K1371</f>
        <v>926499.13300000015</v>
      </c>
    </row>
    <row r="1374" spans="1:11" ht="63" customHeight="1" x14ac:dyDescent="0.25">
      <c r="A1374" s="58" t="s">
        <v>221</v>
      </c>
      <c r="B1374" s="59"/>
      <c r="C1374" s="59"/>
      <c r="D1374" s="60"/>
      <c r="E1374" s="16" t="s">
        <v>16</v>
      </c>
      <c r="F1374" s="17" t="s">
        <v>7</v>
      </c>
      <c r="G1374" s="18">
        <f>G1373+G1279</f>
        <v>525614.62600000005</v>
      </c>
      <c r="H1374" s="18">
        <f>H1373+H1279</f>
        <v>559783.63599999994</v>
      </c>
      <c r="I1374" s="18">
        <f>I1373+I1279</f>
        <v>791213.31</v>
      </c>
      <c r="J1374" s="18">
        <f>J1373+J1279+0.1</f>
        <v>809663.02800000005</v>
      </c>
      <c r="K1374" s="18">
        <f>K1373+K1279</f>
        <v>940274.93300000019</v>
      </c>
    </row>
    <row r="1375" spans="1:11" ht="15.75" customHeight="1" x14ac:dyDescent="0.25">
      <c r="A1375" s="29" t="s">
        <v>983</v>
      </c>
      <c r="B1375" s="66" t="s">
        <v>1609</v>
      </c>
      <c r="C1375" s="67"/>
      <c r="D1375" s="67"/>
      <c r="E1375" s="67"/>
      <c r="F1375" s="67"/>
      <c r="G1375" s="67"/>
      <c r="H1375" s="67"/>
      <c r="I1375" s="67"/>
      <c r="J1375" s="67"/>
      <c r="K1375" s="68"/>
    </row>
    <row r="1376" spans="1:11" ht="130.5" customHeight="1" x14ac:dyDescent="0.25">
      <c r="A1376" s="55" t="s">
        <v>984</v>
      </c>
      <c r="B1376" s="55" t="s">
        <v>1608</v>
      </c>
      <c r="C1376" s="55" t="s">
        <v>461</v>
      </c>
      <c r="D1376" s="64" t="s">
        <v>465</v>
      </c>
      <c r="E1376" s="8" t="s">
        <v>1591</v>
      </c>
      <c r="F1376" s="9" t="s">
        <v>61</v>
      </c>
      <c r="G1376" s="10">
        <v>5668</v>
      </c>
      <c r="H1376" s="10">
        <v>2142</v>
      </c>
      <c r="I1376" s="10">
        <v>2142</v>
      </c>
      <c r="J1376" s="10">
        <v>2142</v>
      </c>
      <c r="K1376" s="10">
        <v>2142</v>
      </c>
    </row>
    <row r="1377" spans="1:11" ht="113.25" customHeight="1" x14ac:dyDescent="0.25">
      <c r="A1377" s="56"/>
      <c r="B1377" s="56"/>
      <c r="C1377" s="56"/>
      <c r="D1377" s="71"/>
      <c r="E1377" s="8" t="s">
        <v>1595</v>
      </c>
      <c r="F1377" s="9" t="s">
        <v>22</v>
      </c>
      <c r="G1377" s="10">
        <v>8340</v>
      </c>
      <c r="H1377" s="10">
        <v>77774</v>
      </c>
      <c r="I1377" s="10">
        <v>77774</v>
      </c>
      <c r="J1377" s="10">
        <v>77774</v>
      </c>
      <c r="K1377" s="10">
        <v>77774</v>
      </c>
    </row>
    <row r="1378" spans="1:11" ht="135.75" customHeight="1" x14ac:dyDescent="0.25">
      <c r="A1378" s="56"/>
      <c r="B1378" s="56"/>
      <c r="C1378" s="56"/>
      <c r="D1378" s="71"/>
      <c r="E1378" s="8" t="s">
        <v>1600</v>
      </c>
      <c r="F1378" s="9" t="s">
        <v>61</v>
      </c>
      <c r="G1378" s="10">
        <v>128916</v>
      </c>
      <c r="H1378" s="10">
        <v>116310</v>
      </c>
      <c r="I1378" s="10">
        <v>116310</v>
      </c>
      <c r="J1378" s="10">
        <v>116310</v>
      </c>
      <c r="K1378" s="10">
        <v>116310</v>
      </c>
    </row>
    <row r="1379" spans="1:11" ht="130.5" customHeight="1" x14ac:dyDescent="0.25">
      <c r="A1379" s="56"/>
      <c r="B1379" s="56"/>
      <c r="C1379" s="56"/>
      <c r="D1379" s="71"/>
      <c r="E1379" s="8" t="s">
        <v>1599</v>
      </c>
      <c r="F1379" s="9" t="s">
        <v>61</v>
      </c>
      <c r="G1379" s="10">
        <v>6445804</v>
      </c>
      <c r="H1379" s="10">
        <v>5815458</v>
      </c>
      <c r="I1379" s="10">
        <v>5815458</v>
      </c>
      <c r="J1379" s="10">
        <v>5815458</v>
      </c>
      <c r="K1379" s="10">
        <v>5815458</v>
      </c>
    </row>
    <row r="1380" spans="1:11" ht="112.5" customHeight="1" x14ac:dyDescent="0.25">
      <c r="A1380" s="56"/>
      <c r="B1380" s="56"/>
      <c r="C1380" s="56"/>
      <c r="D1380" s="71"/>
      <c r="E1380" s="8" t="s">
        <v>1601</v>
      </c>
      <c r="F1380" s="9" t="s">
        <v>61</v>
      </c>
      <c r="G1380" s="10">
        <v>292315</v>
      </c>
      <c r="H1380" s="10">
        <v>475655</v>
      </c>
      <c r="I1380" s="10">
        <v>475655</v>
      </c>
      <c r="J1380" s="10">
        <v>475655</v>
      </c>
      <c r="K1380" s="10">
        <v>475655</v>
      </c>
    </row>
    <row r="1381" spans="1:11" ht="72" customHeight="1" x14ac:dyDescent="0.25">
      <c r="A1381" s="56"/>
      <c r="B1381" s="56"/>
      <c r="C1381" s="56"/>
      <c r="D1381" s="71"/>
      <c r="E1381" s="20" t="s">
        <v>1602</v>
      </c>
      <c r="F1381" s="9" t="s">
        <v>22</v>
      </c>
      <c r="G1381" s="10">
        <v>3451370</v>
      </c>
      <c r="H1381" s="10">
        <v>3463835</v>
      </c>
      <c r="I1381" s="10">
        <v>3463835</v>
      </c>
      <c r="J1381" s="10">
        <v>3463835</v>
      </c>
      <c r="K1381" s="10">
        <v>3463835</v>
      </c>
    </row>
    <row r="1382" spans="1:11" ht="87" customHeight="1" x14ac:dyDescent="0.25">
      <c r="A1382" s="56"/>
      <c r="B1382" s="56"/>
      <c r="C1382" s="56"/>
      <c r="D1382" s="71"/>
      <c r="E1382" s="20" t="s">
        <v>1603</v>
      </c>
      <c r="F1382" s="9" t="s">
        <v>61</v>
      </c>
      <c r="G1382" s="10">
        <v>34514</v>
      </c>
      <c r="H1382" s="10">
        <v>34638</v>
      </c>
      <c r="I1382" s="10">
        <v>34638</v>
      </c>
      <c r="J1382" s="10">
        <v>34638</v>
      </c>
      <c r="K1382" s="10">
        <v>34638</v>
      </c>
    </row>
    <row r="1383" spans="1:11" ht="146.25" customHeight="1" x14ac:dyDescent="0.25">
      <c r="A1383" s="56"/>
      <c r="B1383" s="56"/>
      <c r="C1383" s="56"/>
      <c r="D1383" s="71"/>
      <c r="E1383" s="20" t="s">
        <v>1594</v>
      </c>
      <c r="F1383" s="9" t="s">
        <v>22</v>
      </c>
      <c r="G1383" s="10">
        <v>1028039</v>
      </c>
      <c r="H1383" s="10">
        <v>1194358</v>
      </c>
      <c r="I1383" s="10">
        <v>1194358</v>
      </c>
      <c r="J1383" s="10">
        <v>1194358</v>
      </c>
      <c r="K1383" s="10">
        <v>1194358</v>
      </c>
    </row>
    <row r="1384" spans="1:11" ht="172.5" customHeight="1" x14ac:dyDescent="0.25">
      <c r="A1384" s="56"/>
      <c r="B1384" s="56"/>
      <c r="C1384" s="56"/>
      <c r="D1384" s="71"/>
      <c r="E1384" s="20" t="s">
        <v>1604</v>
      </c>
      <c r="F1384" s="9" t="s">
        <v>61</v>
      </c>
      <c r="G1384" s="10">
        <v>10280</v>
      </c>
      <c r="H1384" s="10">
        <v>8560</v>
      </c>
      <c r="I1384" s="10">
        <v>8560</v>
      </c>
      <c r="J1384" s="10">
        <v>8560</v>
      </c>
      <c r="K1384" s="10">
        <v>8560</v>
      </c>
    </row>
    <row r="1385" spans="1:11" ht="117.75" customHeight="1" x14ac:dyDescent="0.25">
      <c r="A1385" s="56"/>
      <c r="B1385" s="56"/>
      <c r="C1385" s="56"/>
      <c r="D1385" s="71"/>
      <c r="E1385" s="8" t="s">
        <v>1596</v>
      </c>
      <c r="F1385" s="9" t="s">
        <v>61</v>
      </c>
      <c r="G1385" s="10">
        <v>99997.5</v>
      </c>
      <c r="H1385" s="10">
        <v>107140</v>
      </c>
      <c r="I1385" s="10">
        <v>107140</v>
      </c>
      <c r="J1385" s="10">
        <v>107140</v>
      </c>
      <c r="K1385" s="10">
        <v>107140</v>
      </c>
    </row>
    <row r="1386" spans="1:11" ht="110.25" x14ac:dyDescent="0.25">
      <c r="A1386" s="56"/>
      <c r="B1386" s="56"/>
      <c r="C1386" s="56"/>
      <c r="D1386" s="71"/>
      <c r="E1386" s="8" t="s">
        <v>1597</v>
      </c>
      <c r="F1386" s="9" t="s">
        <v>61</v>
      </c>
      <c r="G1386" s="10">
        <v>999975</v>
      </c>
      <c r="H1386" s="10">
        <v>1071385</v>
      </c>
      <c r="I1386" s="10">
        <v>1071385</v>
      </c>
      <c r="J1386" s="10">
        <v>1071385</v>
      </c>
      <c r="K1386" s="10">
        <v>1071385</v>
      </c>
    </row>
    <row r="1387" spans="1:11" ht="157.5" x14ac:dyDescent="0.25">
      <c r="A1387" s="56"/>
      <c r="B1387" s="56"/>
      <c r="C1387" s="56"/>
      <c r="D1387" s="71"/>
      <c r="E1387" s="20" t="s">
        <v>1598</v>
      </c>
      <c r="F1387" s="9" t="s">
        <v>22</v>
      </c>
      <c r="G1387" s="10">
        <v>1243394</v>
      </c>
      <c r="H1387" s="10">
        <v>1335136</v>
      </c>
      <c r="I1387" s="10">
        <v>1335136</v>
      </c>
      <c r="J1387" s="10">
        <v>1335136</v>
      </c>
      <c r="K1387" s="10">
        <v>1335136</v>
      </c>
    </row>
    <row r="1388" spans="1:11" ht="63" customHeight="1" x14ac:dyDescent="0.25">
      <c r="A1388" s="56"/>
      <c r="B1388" s="56"/>
      <c r="C1388" s="56"/>
      <c r="D1388" s="8" t="s">
        <v>1661</v>
      </c>
      <c r="E1388" s="64" t="s">
        <v>15</v>
      </c>
      <c r="F1388" s="55" t="s">
        <v>6</v>
      </c>
      <c r="G1388" s="40">
        <v>256473.395399</v>
      </c>
      <c r="H1388" s="40">
        <v>275477.86990310997</v>
      </c>
      <c r="I1388" s="40">
        <v>245182.94129399999</v>
      </c>
      <c r="J1388" s="40">
        <v>228056.50677210002</v>
      </c>
      <c r="K1388" s="40">
        <v>224170.8</v>
      </c>
    </row>
    <row r="1389" spans="1:11" ht="15.75" x14ac:dyDescent="0.25">
      <c r="A1389" s="57"/>
      <c r="B1389" s="56"/>
      <c r="C1389" s="57"/>
      <c r="D1389" s="23" t="s">
        <v>1605</v>
      </c>
      <c r="E1389" s="65"/>
      <c r="F1389" s="57"/>
      <c r="G1389" s="40">
        <v>0</v>
      </c>
      <c r="H1389" s="40">
        <v>6300</v>
      </c>
      <c r="I1389" s="40">
        <v>5946.3</v>
      </c>
      <c r="J1389" s="40">
        <v>4100</v>
      </c>
      <c r="K1389" s="40">
        <v>3900</v>
      </c>
    </row>
    <row r="1390" spans="1:11" ht="78.75" x14ac:dyDescent="0.25">
      <c r="A1390" s="55" t="s">
        <v>985</v>
      </c>
      <c r="B1390" s="56"/>
      <c r="C1390" s="55" t="s">
        <v>462</v>
      </c>
      <c r="D1390" s="64" t="s">
        <v>464</v>
      </c>
      <c r="E1390" s="8" t="s">
        <v>491</v>
      </c>
      <c r="F1390" s="9" t="s">
        <v>61</v>
      </c>
      <c r="G1390" s="10">
        <v>100750</v>
      </c>
      <c r="H1390" s="10">
        <v>1233050</v>
      </c>
      <c r="I1390" s="10">
        <v>1233050</v>
      </c>
      <c r="J1390" s="10">
        <v>1233050</v>
      </c>
      <c r="K1390" s="10">
        <v>1233050</v>
      </c>
    </row>
    <row r="1391" spans="1:11" ht="81" customHeight="1" x14ac:dyDescent="0.25">
      <c r="A1391" s="56"/>
      <c r="B1391" s="56"/>
      <c r="C1391" s="56"/>
      <c r="D1391" s="65"/>
      <c r="E1391" s="8" t="s">
        <v>492</v>
      </c>
      <c r="F1391" s="9" t="s">
        <v>61</v>
      </c>
      <c r="G1391" s="10">
        <v>121771</v>
      </c>
      <c r="H1391" s="10">
        <v>121771</v>
      </c>
      <c r="I1391" s="10">
        <v>121771</v>
      </c>
      <c r="J1391" s="10">
        <v>121771</v>
      </c>
      <c r="K1391" s="10">
        <v>121771</v>
      </c>
    </row>
    <row r="1392" spans="1:11" ht="63" x14ac:dyDescent="0.25">
      <c r="A1392" s="57"/>
      <c r="B1392" s="56"/>
      <c r="C1392" s="57"/>
      <c r="D1392" s="8" t="s">
        <v>1661</v>
      </c>
      <c r="E1392" s="8" t="s">
        <v>15</v>
      </c>
      <c r="F1392" s="9" t="s">
        <v>6</v>
      </c>
      <c r="G1392" s="40">
        <v>11231.433987499999</v>
      </c>
      <c r="H1392" s="40">
        <v>52046.933114049993</v>
      </c>
      <c r="I1392" s="40">
        <v>46323.213369999998</v>
      </c>
      <c r="J1392" s="40">
        <v>43087.460195499996</v>
      </c>
      <c r="K1392" s="40">
        <v>42353.32</v>
      </c>
    </row>
    <row r="1393" spans="1:11" ht="90" customHeight="1" x14ac:dyDescent="0.25">
      <c r="A1393" s="55" t="s">
        <v>986</v>
      </c>
      <c r="B1393" s="56"/>
      <c r="C1393" s="55" t="s">
        <v>463</v>
      </c>
      <c r="D1393" s="64" t="s">
        <v>466</v>
      </c>
      <c r="E1393" s="8" t="s">
        <v>1588</v>
      </c>
      <c r="F1393" s="9" t="s">
        <v>61</v>
      </c>
      <c r="G1393" s="10">
        <v>18530</v>
      </c>
      <c r="H1393" s="10">
        <v>18530</v>
      </c>
      <c r="I1393" s="10">
        <v>18530</v>
      </c>
      <c r="J1393" s="10">
        <v>18530</v>
      </c>
      <c r="K1393" s="10">
        <v>18530</v>
      </c>
    </row>
    <row r="1394" spans="1:11" ht="120" customHeight="1" x14ac:dyDescent="0.25">
      <c r="A1394" s="56"/>
      <c r="B1394" s="56"/>
      <c r="C1394" s="56"/>
      <c r="D1394" s="71"/>
      <c r="E1394" s="20" t="s">
        <v>1590</v>
      </c>
      <c r="F1394" s="9" t="s">
        <v>61</v>
      </c>
      <c r="G1394" s="10">
        <v>18530</v>
      </c>
      <c r="H1394" s="10">
        <v>18530</v>
      </c>
      <c r="I1394" s="10">
        <v>18530</v>
      </c>
      <c r="J1394" s="10">
        <v>18530</v>
      </c>
      <c r="K1394" s="10">
        <v>18530</v>
      </c>
    </row>
    <row r="1395" spans="1:11" ht="96" customHeight="1" x14ac:dyDescent="0.25">
      <c r="A1395" s="56"/>
      <c r="B1395" s="56"/>
      <c r="C1395" s="56"/>
      <c r="D1395" s="71"/>
      <c r="E1395" s="20" t="s">
        <v>1589</v>
      </c>
      <c r="F1395" s="9" t="s">
        <v>61</v>
      </c>
      <c r="G1395" s="10">
        <v>14865</v>
      </c>
      <c r="H1395" s="10">
        <v>14865</v>
      </c>
      <c r="I1395" s="10">
        <v>14865</v>
      </c>
      <c r="J1395" s="10">
        <v>14865</v>
      </c>
      <c r="K1395" s="10">
        <v>14865</v>
      </c>
    </row>
    <row r="1396" spans="1:11" ht="22.5" customHeight="1" x14ac:dyDescent="0.25">
      <c r="A1396" s="56"/>
      <c r="B1396" s="56"/>
      <c r="C1396" s="56"/>
      <c r="D1396" s="71"/>
      <c r="E1396" s="20" t="s">
        <v>1593</v>
      </c>
      <c r="F1396" s="9" t="s">
        <v>61</v>
      </c>
      <c r="G1396" s="10">
        <v>310</v>
      </c>
      <c r="H1396" s="10">
        <v>348</v>
      </c>
      <c r="I1396" s="10">
        <v>348</v>
      </c>
      <c r="J1396" s="10">
        <v>348</v>
      </c>
      <c r="K1396" s="10">
        <v>348</v>
      </c>
    </row>
    <row r="1397" spans="1:11" ht="36.75" customHeight="1" x14ac:dyDescent="0.25">
      <c r="A1397" s="56"/>
      <c r="B1397" s="56"/>
      <c r="C1397" s="56"/>
      <c r="D1397" s="65"/>
      <c r="E1397" s="20" t="s">
        <v>1592</v>
      </c>
      <c r="F1397" s="9" t="s">
        <v>61</v>
      </c>
      <c r="G1397" s="10">
        <v>310</v>
      </c>
      <c r="H1397" s="10">
        <v>348</v>
      </c>
      <c r="I1397" s="10">
        <v>348</v>
      </c>
      <c r="J1397" s="10">
        <v>348</v>
      </c>
      <c r="K1397" s="10">
        <v>348</v>
      </c>
    </row>
    <row r="1398" spans="1:11" ht="63" x14ac:dyDescent="0.25">
      <c r="A1398" s="57"/>
      <c r="B1398" s="56"/>
      <c r="C1398" s="57"/>
      <c r="D1398" s="8" t="s">
        <v>1661</v>
      </c>
      <c r="E1398" s="8" t="s">
        <v>15</v>
      </c>
      <c r="F1398" s="9" t="s">
        <v>7</v>
      </c>
      <c r="G1398" s="40">
        <v>2732.4136630000003</v>
      </c>
      <c r="H1398" s="40">
        <v>17937.43102711</v>
      </c>
      <c r="I1398" s="40">
        <v>15964.810894</v>
      </c>
      <c r="J1398" s="40">
        <v>14849.642412100002</v>
      </c>
      <c r="K1398" s="40">
        <v>14596.63</v>
      </c>
    </row>
    <row r="1399" spans="1:11" ht="81" customHeight="1" x14ac:dyDescent="0.25">
      <c r="A1399" s="55" t="s">
        <v>987</v>
      </c>
      <c r="B1399" s="56"/>
      <c r="C1399" s="55" t="s">
        <v>467</v>
      </c>
      <c r="D1399" s="23" t="s">
        <v>1115</v>
      </c>
      <c r="E1399" s="8" t="s">
        <v>335</v>
      </c>
      <c r="F1399" s="9" t="s">
        <v>61</v>
      </c>
      <c r="G1399" s="10">
        <v>131794</v>
      </c>
      <c r="H1399" s="10">
        <v>339905</v>
      </c>
      <c r="I1399" s="10">
        <v>339905</v>
      </c>
      <c r="J1399" s="10">
        <v>339905</v>
      </c>
      <c r="K1399" s="10">
        <v>339905</v>
      </c>
    </row>
    <row r="1400" spans="1:11" ht="71.25" customHeight="1" x14ac:dyDescent="0.25">
      <c r="A1400" s="57"/>
      <c r="B1400" s="56"/>
      <c r="C1400" s="57"/>
      <c r="D1400" s="8" t="s">
        <v>1661</v>
      </c>
      <c r="E1400" s="8" t="s">
        <v>15</v>
      </c>
      <c r="F1400" s="9" t="s">
        <v>7</v>
      </c>
      <c r="G1400" s="40">
        <v>26488.896950499999</v>
      </c>
      <c r="H1400" s="40">
        <v>49296.255955729997</v>
      </c>
      <c r="I1400" s="40">
        <v>43875.034442000004</v>
      </c>
      <c r="J1400" s="40">
        <v>40810.290620300002</v>
      </c>
      <c r="K1400" s="40">
        <v>40114.949999999997</v>
      </c>
    </row>
    <row r="1401" spans="1:11" ht="15.75" x14ac:dyDescent="0.25">
      <c r="A1401" s="55" t="s">
        <v>988</v>
      </c>
      <c r="B1401" s="56"/>
      <c r="C1401" s="55" t="s">
        <v>135</v>
      </c>
      <c r="D1401" s="64" t="s">
        <v>137</v>
      </c>
      <c r="E1401" s="20" t="s">
        <v>468</v>
      </c>
      <c r="F1401" s="9" t="s">
        <v>22</v>
      </c>
      <c r="G1401" s="10">
        <v>49</v>
      </c>
      <c r="H1401" s="10">
        <v>51</v>
      </c>
      <c r="I1401" s="10">
        <v>77</v>
      </c>
      <c r="J1401" s="10">
        <v>77</v>
      </c>
      <c r="K1401" s="10">
        <v>77</v>
      </c>
    </row>
    <row r="1402" spans="1:11" ht="15.75" x14ac:dyDescent="0.25">
      <c r="A1402" s="56"/>
      <c r="B1402" s="56"/>
      <c r="C1402" s="56"/>
      <c r="D1402" s="65"/>
      <c r="E1402" s="20" t="s">
        <v>469</v>
      </c>
      <c r="F1402" s="9" t="s">
        <v>22</v>
      </c>
      <c r="G1402" s="10">
        <v>8</v>
      </c>
      <c r="H1402" s="10">
        <v>8</v>
      </c>
      <c r="I1402" s="10">
        <v>8</v>
      </c>
      <c r="J1402" s="10">
        <v>8</v>
      </c>
      <c r="K1402" s="10">
        <v>8</v>
      </c>
    </row>
    <row r="1403" spans="1:11" ht="63" x14ac:dyDescent="0.25">
      <c r="A1403" s="57"/>
      <c r="B1403" s="56"/>
      <c r="C1403" s="57"/>
      <c r="D1403" s="8" t="s">
        <v>470</v>
      </c>
      <c r="E1403" s="8" t="s">
        <v>15</v>
      </c>
      <c r="F1403" s="9" t="s">
        <v>7</v>
      </c>
      <c r="G1403" s="40">
        <v>17109.3</v>
      </c>
      <c r="H1403" s="40">
        <v>23217.7</v>
      </c>
      <c r="I1403" s="40">
        <v>19365.2</v>
      </c>
      <c r="J1403" s="40">
        <v>16714.400000000001</v>
      </c>
      <c r="K1403" s="40">
        <v>15963.6</v>
      </c>
    </row>
    <row r="1404" spans="1:11" ht="110.25" x14ac:dyDescent="0.25">
      <c r="A1404" s="55" t="s">
        <v>989</v>
      </c>
      <c r="B1404" s="56"/>
      <c r="C1404" s="55" t="s">
        <v>471</v>
      </c>
      <c r="D1404" s="8" t="s">
        <v>1587</v>
      </c>
      <c r="E1404" s="8" t="s">
        <v>493</v>
      </c>
      <c r="F1404" s="9" t="s">
        <v>22</v>
      </c>
      <c r="G1404" s="10">
        <v>260</v>
      </c>
      <c r="H1404" s="10">
        <v>274</v>
      </c>
      <c r="I1404" s="10">
        <v>274</v>
      </c>
      <c r="J1404" s="10">
        <v>274</v>
      </c>
      <c r="K1404" s="10">
        <v>274</v>
      </c>
    </row>
    <row r="1405" spans="1:11" ht="63" x14ac:dyDescent="0.25">
      <c r="A1405" s="57"/>
      <c r="B1405" s="57"/>
      <c r="C1405" s="57"/>
      <c r="D1405" s="8" t="s">
        <v>1662</v>
      </c>
      <c r="E1405" s="8" t="s">
        <v>15</v>
      </c>
      <c r="F1405" s="9" t="s">
        <v>7</v>
      </c>
      <c r="G1405" s="40">
        <v>11129.16</v>
      </c>
      <c r="H1405" s="40">
        <v>13817.45</v>
      </c>
      <c r="I1405" s="40">
        <v>10718.7</v>
      </c>
      <c r="J1405" s="40">
        <v>9927.1</v>
      </c>
      <c r="K1405" s="40">
        <v>9754</v>
      </c>
    </row>
    <row r="1406" spans="1:11" ht="63" customHeight="1" x14ac:dyDescent="0.25">
      <c r="A1406" s="61" t="s">
        <v>1607</v>
      </c>
      <c r="B1406" s="62"/>
      <c r="C1406" s="62"/>
      <c r="D1406" s="63"/>
      <c r="E1406" s="13" t="s">
        <v>16</v>
      </c>
      <c r="F1406" s="14" t="s">
        <v>7</v>
      </c>
      <c r="G1406" s="15">
        <f>G1405+G1403+G1400+G1398+G1392+G1388+G1389</f>
        <v>325164.59999999998</v>
      </c>
      <c r="H1406" s="15">
        <f t="shared" ref="H1406:K1406" si="35">H1405+H1403+H1400+H1398+H1392+H1388+H1389</f>
        <v>438093.63999999996</v>
      </c>
      <c r="I1406" s="15">
        <f t="shared" si="35"/>
        <v>387376.2</v>
      </c>
      <c r="J1406" s="15">
        <f t="shared" si="35"/>
        <v>357545.4</v>
      </c>
      <c r="K1406" s="15">
        <f t="shared" si="35"/>
        <v>350853.3</v>
      </c>
    </row>
    <row r="1407" spans="1:11" ht="63" customHeight="1" x14ac:dyDescent="0.25">
      <c r="A1407" s="58" t="s">
        <v>1606</v>
      </c>
      <c r="B1407" s="59"/>
      <c r="C1407" s="59"/>
      <c r="D1407" s="60"/>
      <c r="E1407" s="16" t="s">
        <v>16</v>
      </c>
      <c r="F1407" s="17" t="s">
        <v>7</v>
      </c>
      <c r="G1407" s="18">
        <f>G1406-0.02</f>
        <v>325164.57999999996</v>
      </c>
      <c r="H1407" s="18">
        <f t="shared" ref="H1407:K1407" si="36">H1406-0.02</f>
        <v>438093.61999999994</v>
      </c>
      <c r="I1407" s="18">
        <f>I1406-0.02+0.1</f>
        <v>387376.27999999997</v>
      </c>
      <c r="J1407" s="18">
        <f t="shared" si="36"/>
        <v>357545.38</v>
      </c>
      <c r="K1407" s="18">
        <f t="shared" si="36"/>
        <v>350853.27999999997</v>
      </c>
    </row>
    <row r="1408" spans="1:11" ht="15.75" customHeight="1" x14ac:dyDescent="0.25">
      <c r="A1408" s="29" t="s">
        <v>990</v>
      </c>
      <c r="B1408" s="66" t="s">
        <v>374</v>
      </c>
      <c r="C1408" s="67"/>
      <c r="D1408" s="67"/>
      <c r="E1408" s="67"/>
      <c r="F1408" s="67"/>
      <c r="G1408" s="67"/>
      <c r="H1408" s="67"/>
      <c r="I1408" s="67"/>
      <c r="J1408" s="67"/>
      <c r="K1408" s="68"/>
    </row>
    <row r="1409" spans="1:11" ht="24" customHeight="1" x14ac:dyDescent="0.25">
      <c r="A1409" s="69" t="s">
        <v>1120</v>
      </c>
      <c r="B1409" s="69" t="s">
        <v>1107</v>
      </c>
      <c r="C1409" s="69" t="s">
        <v>375</v>
      </c>
      <c r="D1409" s="8" t="s">
        <v>357</v>
      </c>
      <c r="E1409" s="8" t="s">
        <v>377</v>
      </c>
      <c r="F1409" s="9" t="s">
        <v>22</v>
      </c>
      <c r="G1409" s="11">
        <v>59</v>
      </c>
      <c r="H1409" s="11">
        <v>142</v>
      </c>
      <c r="I1409" s="11" t="s">
        <v>165</v>
      </c>
      <c r="J1409" s="11" t="s">
        <v>165</v>
      </c>
      <c r="K1409" s="11" t="s">
        <v>165</v>
      </c>
    </row>
    <row r="1410" spans="1:11" ht="63" customHeight="1" x14ac:dyDescent="0.25">
      <c r="A1410" s="69"/>
      <c r="B1410" s="69"/>
      <c r="C1410" s="69"/>
      <c r="D1410" s="8" t="s">
        <v>376</v>
      </c>
      <c r="E1410" s="23" t="s">
        <v>15</v>
      </c>
      <c r="F1410" s="24" t="s">
        <v>7</v>
      </c>
      <c r="G1410" s="1">
        <v>1565.67</v>
      </c>
      <c r="H1410" s="1">
        <v>4557.1000000000004</v>
      </c>
      <c r="I1410" s="1">
        <v>0</v>
      </c>
      <c r="J1410" s="1">
        <v>0</v>
      </c>
      <c r="K1410" s="1">
        <v>0</v>
      </c>
    </row>
    <row r="1411" spans="1:11" ht="63" customHeight="1" x14ac:dyDescent="0.25">
      <c r="A1411" s="61" t="s">
        <v>1094</v>
      </c>
      <c r="B1411" s="62"/>
      <c r="C1411" s="62"/>
      <c r="D1411" s="63"/>
      <c r="E1411" s="13" t="s">
        <v>16</v>
      </c>
      <c r="F1411" s="14" t="s">
        <v>7</v>
      </c>
      <c r="G1411" s="15">
        <f>G1410</f>
        <v>1565.67</v>
      </c>
      <c r="H1411" s="15">
        <f t="shared" ref="H1411" si="37">H1410</f>
        <v>4557.1000000000004</v>
      </c>
      <c r="I1411" s="15">
        <f t="shared" ref="I1411" si="38">I1410</f>
        <v>0</v>
      </c>
      <c r="J1411" s="15">
        <f t="shared" ref="J1411" si="39">J1410</f>
        <v>0</v>
      </c>
      <c r="K1411" s="15">
        <f t="shared" ref="K1411" si="40">K1410</f>
        <v>0</v>
      </c>
    </row>
    <row r="1412" spans="1:11" ht="18.75" customHeight="1" x14ac:dyDescent="0.25">
      <c r="A1412" s="69" t="s">
        <v>1121</v>
      </c>
      <c r="B1412" s="69" t="s">
        <v>1105</v>
      </c>
      <c r="C1412" s="69" t="s">
        <v>375</v>
      </c>
      <c r="D1412" s="8" t="s">
        <v>357</v>
      </c>
      <c r="E1412" s="8" t="s">
        <v>377</v>
      </c>
      <c r="F1412" s="9" t="s">
        <v>22</v>
      </c>
      <c r="G1412" s="11" t="s">
        <v>165</v>
      </c>
      <c r="H1412" s="11" t="s">
        <v>165</v>
      </c>
      <c r="I1412" s="11" t="s">
        <v>1119</v>
      </c>
      <c r="J1412" s="11">
        <v>124</v>
      </c>
      <c r="K1412" s="11" t="s">
        <v>1119</v>
      </c>
    </row>
    <row r="1413" spans="1:11" ht="78" customHeight="1" x14ac:dyDescent="0.25">
      <c r="A1413" s="69"/>
      <c r="B1413" s="69"/>
      <c r="C1413" s="69"/>
      <c r="D1413" s="8" t="s">
        <v>1108</v>
      </c>
      <c r="E1413" s="8" t="s">
        <v>16</v>
      </c>
      <c r="F1413" s="9" t="s">
        <v>7</v>
      </c>
      <c r="G1413" s="1">
        <v>0</v>
      </c>
      <c r="H1413" s="1">
        <v>0</v>
      </c>
      <c r="I1413" s="1">
        <v>3939.1</v>
      </c>
      <c r="J1413" s="1">
        <v>3115.8</v>
      </c>
      <c r="K1413" s="1">
        <v>3073.6</v>
      </c>
    </row>
    <row r="1414" spans="1:11" ht="63" customHeight="1" x14ac:dyDescent="0.25">
      <c r="A1414" s="61" t="s">
        <v>1106</v>
      </c>
      <c r="B1414" s="62"/>
      <c r="C1414" s="62"/>
      <c r="D1414" s="63"/>
      <c r="E1414" s="13" t="s">
        <v>16</v>
      </c>
      <c r="F1414" s="14" t="s">
        <v>7</v>
      </c>
      <c r="G1414" s="15">
        <f t="shared" ref="G1414:H1414" si="41">G1413</f>
        <v>0</v>
      </c>
      <c r="H1414" s="15">
        <f t="shared" si="41"/>
        <v>0</v>
      </c>
      <c r="I1414" s="15">
        <f>I1413</f>
        <v>3939.1</v>
      </c>
      <c r="J1414" s="15">
        <f>J1413</f>
        <v>3115.8</v>
      </c>
      <c r="K1414" s="15">
        <f>K1413</f>
        <v>3073.6</v>
      </c>
    </row>
    <row r="1415" spans="1:11" ht="63" customHeight="1" x14ac:dyDescent="0.25">
      <c r="A1415" s="58" t="s">
        <v>562</v>
      </c>
      <c r="B1415" s="59"/>
      <c r="C1415" s="59"/>
      <c r="D1415" s="60"/>
      <c r="E1415" s="16" t="s">
        <v>16</v>
      </c>
      <c r="F1415" s="17" t="s">
        <v>7</v>
      </c>
      <c r="G1415" s="18">
        <f>G1411+G1414</f>
        <v>1565.67</v>
      </c>
      <c r="H1415" s="18">
        <f t="shared" ref="H1415:K1415" si="42">H1411+H1414</f>
        <v>4557.1000000000004</v>
      </c>
      <c r="I1415" s="18">
        <f t="shared" si="42"/>
        <v>3939.1</v>
      </c>
      <c r="J1415" s="18">
        <f t="shared" si="42"/>
        <v>3115.8</v>
      </c>
      <c r="K1415" s="18">
        <f t="shared" si="42"/>
        <v>3073.6</v>
      </c>
    </row>
    <row r="1416" spans="1:11" ht="69.75" customHeight="1" x14ac:dyDescent="0.25">
      <c r="A1416" s="58" t="s">
        <v>1109</v>
      </c>
      <c r="B1416" s="59"/>
      <c r="C1416" s="59"/>
      <c r="D1416" s="60"/>
      <c r="E1416" s="16" t="s">
        <v>16</v>
      </c>
      <c r="F1416" s="17" t="s">
        <v>7</v>
      </c>
      <c r="G1416" s="18">
        <f>G1415+G1407+G1374+G442+G437+G365+G344+G321+G270+G235+G222+G139+G24+G1245+G1082</f>
        <v>7452151.8375499975</v>
      </c>
      <c r="H1416" s="18">
        <f>H1415+H1407+H1374+H442+H437+H365+H344+H321+H270+H235+H222+H139+H24+H1245+H1082</f>
        <v>8827148.573929999</v>
      </c>
      <c r="I1416" s="18">
        <f>I1415+I1407+I1374+I442+I437+I365+I344+I321+I270+I235+I222+I139+I24+I1245+I1082</f>
        <v>7874344.1373999985</v>
      </c>
      <c r="J1416" s="18">
        <f>J1415+J1407+J1374+J442+J437+J365+J344+J321+J270+J235+J222+J139+J24+J1245+J1082</f>
        <v>6565797.3028800013</v>
      </c>
      <c r="K1416" s="18">
        <f>K1415+K1407+K1374+K442+K437+K365+K344+K321+K270+K235+K222+K139+K24+K1245+K1082</f>
        <v>6615010.7702799989</v>
      </c>
    </row>
  </sheetData>
  <mergeCells count="738">
    <mergeCell ref="C1280:C1325"/>
    <mergeCell ref="D1348:D1350"/>
    <mergeCell ref="A1352:A1363"/>
    <mergeCell ref="C1352:C1363"/>
    <mergeCell ref="E1371:E1372"/>
    <mergeCell ref="F1371:F1372"/>
    <mergeCell ref="C1370:C1372"/>
    <mergeCell ref="F696:F697"/>
    <mergeCell ref="D1247:D1249"/>
    <mergeCell ref="D1250:D1255"/>
    <mergeCell ref="D1256:D1257"/>
    <mergeCell ref="D1258:D1264"/>
    <mergeCell ref="D1266:D1269"/>
    <mergeCell ref="B1247:B1278"/>
    <mergeCell ref="D1274:D1276"/>
    <mergeCell ref="D1145:D1162"/>
    <mergeCell ref="D1164:D1188"/>
    <mergeCell ref="A813:A814"/>
    <mergeCell ref="A803:A810"/>
    <mergeCell ref="A1366:A1369"/>
    <mergeCell ref="A1247:A1249"/>
    <mergeCell ref="A1250:A1255"/>
    <mergeCell ref="C946:C951"/>
    <mergeCell ref="E479:E480"/>
    <mergeCell ref="F479:F480"/>
    <mergeCell ref="E590:E591"/>
    <mergeCell ref="F590:F591"/>
    <mergeCell ref="C896:C903"/>
    <mergeCell ref="E896:E902"/>
    <mergeCell ref="F896:F902"/>
    <mergeCell ref="E544:E545"/>
    <mergeCell ref="F544:F545"/>
    <mergeCell ref="E749:E750"/>
    <mergeCell ref="F749:F750"/>
    <mergeCell ref="E753:E754"/>
    <mergeCell ref="F753:F754"/>
    <mergeCell ref="D857:D876"/>
    <mergeCell ref="E666:E667"/>
    <mergeCell ref="F666:F667"/>
    <mergeCell ref="F484:F485"/>
    <mergeCell ref="C835:C842"/>
    <mergeCell ref="F603:F604"/>
    <mergeCell ref="F725:F726"/>
    <mergeCell ref="E729:E730"/>
    <mergeCell ref="E484:E485"/>
    <mergeCell ref="F729:F730"/>
    <mergeCell ref="E745:E746"/>
    <mergeCell ref="C174:C175"/>
    <mergeCell ref="E673:E674"/>
    <mergeCell ref="F673:F674"/>
    <mergeCell ref="E677:E678"/>
    <mergeCell ref="F677:F678"/>
    <mergeCell ref="E684:E686"/>
    <mergeCell ref="F684:F686"/>
    <mergeCell ref="F450:F451"/>
    <mergeCell ref="E508:E509"/>
    <mergeCell ref="F508:F509"/>
    <mergeCell ref="E615:E617"/>
    <mergeCell ref="F615:F617"/>
    <mergeCell ref="E620:E621"/>
    <mergeCell ref="F620:F621"/>
    <mergeCell ref="E624:E625"/>
    <mergeCell ref="F624:F625"/>
    <mergeCell ref="E603:E604"/>
    <mergeCell ref="C387:C388"/>
    <mergeCell ref="C385:C386"/>
    <mergeCell ref="E300:E301"/>
    <mergeCell ref="F300:F301"/>
    <mergeCell ref="F290:F292"/>
    <mergeCell ref="E469:E470"/>
    <mergeCell ref="F469:F470"/>
    <mergeCell ref="F153:F154"/>
    <mergeCell ref="E150:E151"/>
    <mergeCell ref="F150:F151"/>
    <mergeCell ref="E164:E165"/>
    <mergeCell ref="F164:F165"/>
    <mergeCell ref="E159:E160"/>
    <mergeCell ref="F159:F160"/>
    <mergeCell ref="C170:C171"/>
    <mergeCell ref="C172:C173"/>
    <mergeCell ref="E183:E184"/>
    <mergeCell ref="F183:F184"/>
    <mergeCell ref="C405:C406"/>
    <mergeCell ref="A397:A398"/>
    <mergeCell ref="C397:C398"/>
    <mergeCell ref="A215:A218"/>
    <mergeCell ref="A208:A210"/>
    <mergeCell ref="C215:C218"/>
    <mergeCell ref="E216:E218"/>
    <mergeCell ref="F216:F218"/>
    <mergeCell ref="A219:A220"/>
    <mergeCell ref="B141:B220"/>
    <mergeCell ref="A149:A154"/>
    <mergeCell ref="F156:F157"/>
    <mergeCell ref="A174:A175"/>
    <mergeCell ref="A176:A178"/>
    <mergeCell ref="A179:A181"/>
    <mergeCell ref="E177:E178"/>
    <mergeCell ref="F177:F178"/>
    <mergeCell ref="E180:E181"/>
    <mergeCell ref="F180:F181"/>
    <mergeCell ref="A155:A157"/>
    <mergeCell ref="C149:C154"/>
    <mergeCell ref="E153:E154"/>
    <mergeCell ref="A1414:D1414"/>
    <mergeCell ref="B1408:K1408"/>
    <mergeCell ref="E93:E94"/>
    <mergeCell ref="F93:F94"/>
    <mergeCell ref="C116:C119"/>
    <mergeCell ref="A116:A119"/>
    <mergeCell ref="D346:D349"/>
    <mergeCell ref="C430:C431"/>
    <mergeCell ref="A430:A431"/>
    <mergeCell ref="A1409:A1410"/>
    <mergeCell ref="B1409:B1410"/>
    <mergeCell ref="C1409:C1410"/>
    <mergeCell ref="A1412:A1413"/>
    <mergeCell ref="B1412:B1413"/>
    <mergeCell ref="C1412:C1413"/>
    <mergeCell ref="C416:C419"/>
    <mergeCell ref="A416:A419"/>
    <mergeCell ref="C420:C423"/>
    <mergeCell ref="A420:A423"/>
    <mergeCell ref="C428:C429"/>
    <mergeCell ref="E315:E317"/>
    <mergeCell ref="F315:F317"/>
    <mergeCell ref="A428:A429"/>
    <mergeCell ref="C182:C184"/>
    <mergeCell ref="F273:F276"/>
    <mergeCell ref="A272:A276"/>
    <mergeCell ref="C277:C279"/>
    <mergeCell ref="E281:E282"/>
    <mergeCell ref="A289:A292"/>
    <mergeCell ref="A390:A392"/>
    <mergeCell ref="C390:C392"/>
    <mergeCell ref="F311:F313"/>
    <mergeCell ref="A389:D389"/>
    <mergeCell ref="F303:F305"/>
    <mergeCell ref="C332:C334"/>
    <mergeCell ref="C329:C331"/>
    <mergeCell ref="A343:D343"/>
    <mergeCell ref="A344:D344"/>
    <mergeCell ref="A365:D365"/>
    <mergeCell ref="D390:D391"/>
    <mergeCell ref="A299:A301"/>
    <mergeCell ref="A302:A305"/>
    <mergeCell ref="A361:A363"/>
    <mergeCell ref="C302:C305"/>
    <mergeCell ref="C326:C328"/>
    <mergeCell ref="E570:E571"/>
    <mergeCell ref="F570:F571"/>
    <mergeCell ref="C187:C188"/>
    <mergeCell ref="C189:C190"/>
    <mergeCell ref="C191:C192"/>
    <mergeCell ref="E212:E214"/>
    <mergeCell ref="A287:A288"/>
    <mergeCell ref="C193:C195"/>
    <mergeCell ref="A211:A214"/>
    <mergeCell ref="A221:D221"/>
    <mergeCell ref="A222:D222"/>
    <mergeCell ref="C283:C284"/>
    <mergeCell ref="A196:A197"/>
    <mergeCell ref="A198:A199"/>
    <mergeCell ref="A200:A201"/>
    <mergeCell ref="A202:A207"/>
    <mergeCell ref="A235:D235"/>
    <mergeCell ref="A228:A233"/>
    <mergeCell ref="A234:D234"/>
    <mergeCell ref="A270:D270"/>
    <mergeCell ref="C272:C276"/>
    <mergeCell ref="E311:E313"/>
    <mergeCell ref="B271:G271"/>
    <mergeCell ref="E273:E276"/>
    <mergeCell ref="C314:C317"/>
    <mergeCell ref="C293:C296"/>
    <mergeCell ref="A293:A296"/>
    <mergeCell ref="F209:F210"/>
    <mergeCell ref="B367:B388"/>
    <mergeCell ref="A367:A372"/>
    <mergeCell ref="E702:E703"/>
    <mergeCell ref="F702:F703"/>
    <mergeCell ref="E698:E699"/>
    <mergeCell ref="F698:F699"/>
    <mergeCell ref="E693:E694"/>
    <mergeCell ref="F693:F694"/>
    <mergeCell ref="E687:E688"/>
    <mergeCell ref="F471:F472"/>
    <mergeCell ref="E471:E472"/>
    <mergeCell ref="E628:E629"/>
    <mergeCell ref="F628:F629"/>
    <mergeCell ref="E635:E636"/>
    <mergeCell ref="F635:F636"/>
    <mergeCell ref="E639:E640"/>
    <mergeCell ref="F639:F640"/>
    <mergeCell ref="E690:E692"/>
    <mergeCell ref="F690:F692"/>
    <mergeCell ref="F687:F688"/>
    <mergeCell ref="A1406:D1406"/>
    <mergeCell ref="A1407:D1407"/>
    <mergeCell ref="B1376:B1405"/>
    <mergeCell ref="C1399:C1400"/>
    <mergeCell ref="A1399:A1400"/>
    <mergeCell ref="C1401:C1403"/>
    <mergeCell ref="D1401:D1402"/>
    <mergeCell ref="A1401:A1403"/>
    <mergeCell ref="C1404:C1405"/>
    <mergeCell ref="A1404:A1405"/>
    <mergeCell ref="C1390:C1392"/>
    <mergeCell ref="D1390:D1391"/>
    <mergeCell ref="A1390:A1392"/>
    <mergeCell ref="C1393:C1398"/>
    <mergeCell ref="D1393:D1397"/>
    <mergeCell ref="A1393:A1398"/>
    <mergeCell ref="C1376:C1389"/>
    <mergeCell ref="D1376:D1387"/>
    <mergeCell ref="A1376:A1389"/>
    <mergeCell ref="A1374:D1374"/>
    <mergeCell ref="B1083:K1083"/>
    <mergeCell ref="F642:F643"/>
    <mergeCell ref="E653:E654"/>
    <mergeCell ref="F653:F654"/>
    <mergeCell ref="E657:E658"/>
    <mergeCell ref="F657:F658"/>
    <mergeCell ref="E955:E957"/>
    <mergeCell ref="F955:F957"/>
    <mergeCell ref="C1328:C1331"/>
    <mergeCell ref="B1280:B1372"/>
    <mergeCell ref="A1326:A1327"/>
    <mergeCell ref="A1328:A1331"/>
    <mergeCell ref="C1364:C1365"/>
    <mergeCell ref="C1366:C1369"/>
    <mergeCell ref="C1332:C1345"/>
    <mergeCell ref="C1346:C1351"/>
    <mergeCell ref="C847:C856"/>
    <mergeCell ref="A847:A856"/>
    <mergeCell ref="A946:A951"/>
    <mergeCell ref="A1346:A1351"/>
    <mergeCell ref="A1332:A1345"/>
    <mergeCell ref="E696:E697"/>
    <mergeCell ref="D1328:D1330"/>
    <mergeCell ref="F238:F243"/>
    <mergeCell ref="A237:A243"/>
    <mergeCell ref="C155:C157"/>
    <mergeCell ref="E250:E252"/>
    <mergeCell ref="E142:E143"/>
    <mergeCell ref="F145:F146"/>
    <mergeCell ref="E156:E157"/>
    <mergeCell ref="E238:E243"/>
    <mergeCell ref="C1084:C1085"/>
    <mergeCell ref="A1081:D1081"/>
    <mergeCell ref="A1082:D1082"/>
    <mergeCell ref="C439:C440"/>
    <mergeCell ref="B439:B440"/>
    <mergeCell ref="C574:C579"/>
    <mergeCell ref="C811:C812"/>
    <mergeCell ref="A811:A812"/>
    <mergeCell ref="A574:A579"/>
    <mergeCell ref="C787:C792"/>
    <mergeCell ref="A787:A792"/>
    <mergeCell ref="C793:C794"/>
    <mergeCell ref="A793:A794"/>
    <mergeCell ref="A843:A846"/>
    <mergeCell ref="C843:C846"/>
    <mergeCell ref="F250:F252"/>
    <mergeCell ref="A124:A126"/>
    <mergeCell ref="A127:A129"/>
    <mergeCell ref="A130:A132"/>
    <mergeCell ref="C133:C137"/>
    <mergeCell ref="A133:A137"/>
    <mergeCell ref="A141:A148"/>
    <mergeCell ref="A338:A340"/>
    <mergeCell ref="A335:A337"/>
    <mergeCell ref="C158:C162"/>
    <mergeCell ref="C163:C169"/>
    <mergeCell ref="B140:K140"/>
    <mergeCell ref="B26:B137"/>
    <mergeCell ref="D133:D134"/>
    <mergeCell ref="D124:D125"/>
    <mergeCell ref="D127:D128"/>
    <mergeCell ref="E131:E132"/>
    <mergeCell ref="F131:F132"/>
    <mergeCell ref="C122:C123"/>
    <mergeCell ref="C124:C126"/>
    <mergeCell ref="C127:C129"/>
    <mergeCell ref="C99:C100"/>
    <mergeCell ref="C101:C112"/>
    <mergeCell ref="E145:E146"/>
    <mergeCell ref="E194:E195"/>
    <mergeCell ref="C352:C354"/>
    <mergeCell ref="D355:D356"/>
    <mergeCell ref="C355:C357"/>
    <mergeCell ref="A163:A169"/>
    <mergeCell ref="A170:A171"/>
    <mergeCell ref="A172:A173"/>
    <mergeCell ref="D352:D353"/>
    <mergeCell ref="C289:C292"/>
    <mergeCell ref="C285:C286"/>
    <mergeCell ref="A285:A286"/>
    <mergeCell ref="C297:C298"/>
    <mergeCell ref="A297:A298"/>
    <mergeCell ref="C299:C301"/>
    <mergeCell ref="C338:C340"/>
    <mergeCell ref="C335:C337"/>
    <mergeCell ref="A244:A248"/>
    <mergeCell ref="A332:A334"/>
    <mergeCell ref="B352:B363"/>
    <mergeCell ref="A310:A313"/>
    <mergeCell ref="C318:C319"/>
    <mergeCell ref="A318:A319"/>
    <mergeCell ref="A314:A317"/>
    <mergeCell ref="B272:B319"/>
    <mergeCell ref="A277:A279"/>
    <mergeCell ref="C249:C254"/>
    <mergeCell ref="A249:A254"/>
    <mergeCell ref="A329:A331"/>
    <mergeCell ref="A326:A328"/>
    <mergeCell ref="E290:E292"/>
    <mergeCell ref="E303:E305"/>
    <mergeCell ref="A269:D269"/>
    <mergeCell ref="C259:C260"/>
    <mergeCell ref="A259:A260"/>
    <mergeCell ref="C261:C262"/>
    <mergeCell ref="A261:A262"/>
    <mergeCell ref="C323:C325"/>
    <mergeCell ref="C280:C282"/>
    <mergeCell ref="A320:D320"/>
    <mergeCell ref="A321:D321"/>
    <mergeCell ref="C306:C307"/>
    <mergeCell ref="A306:A307"/>
    <mergeCell ref="C308:C309"/>
    <mergeCell ref="A308:A309"/>
    <mergeCell ref="C310:C313"/>
    <mergeCell ref="A283:A284"/>
    <mergeCell ref="A280:A282"/>
    <mergeCell ref="C287:C288"/>
    <mergeCell ref="A323:A325"/>
    <mergeCell ref="C1326:C1327"/>
    <mergeCell ref="A1364:A1365"/>
    <mergeCell ref="F194:F195"/>
    <mergeCell ref="A185:A186"/>
    <mergeCell ref="A187:A188"/>
    <mergeCell ref="A189:A190"/>
    <mergeCell ref="A191:A192"/>
    <mergeCell ref="A193:A195"/>
    <mergeCell ref="C176:C178"/>
    <mergeCell ref="C179:C181"/>
    <mergeCell ref="C208:C210"/>
    <mergeCell ref="E209:E210"/>
    <mergeCell ref="D367:D368"/>
    <mergeCell ref="C196:C197"/>
    <mergeCell ref="C237:C243"/>
    <mergeCell ref="A355:A357"/>
    <mergeCell ref="C219:C220"/>
    <mergeCell ref="B366:K366"/>
    <mergeCell ref="B345:K345"/>
    <mergeCell ref="D228:D231"/>
    <mergeCell ref="C228:C233"/>
    <mergeCell ref="E232:E233"/>
    <mergeCell ref="F232:F233"/>
    <mergeCell ref="B224:B233"/>
    <mergeCell ref="A7:A8"/>
    <mergeCell ref="C7:C8"/>
    <mergeCell ref="A9:A11"/>
    <mergeCell ref="C9:C11"/>
    <mergeCell ref="C224:C225"/>
    <mergeCell ref="C226:C227"/>
    <mergeCell ref="A224:A225"/>
    <mergeCell ref="A226:A227"/>
    <mergeCell ref="A14:A15"/>
    <mergeCell ref="A16:A17"/>
    <mergeCell ref="C185:C186"/>
    <mergeCell ref="C141:C148"/>
    <mergeCell ref="A26:A61"/>
    <mergeCell ref="A62:A88"/>
    <mergeCell ref="A95:A98"/>
    <mergeCell ref="A99:A100"/>
    <mergeCell ref="A101:A112"/>
    <mergeCell ref="A113:A115"/>
    <mergeCell ref="A120:A121"/>
    <mergeCell ref="A122:A123"/>
    <mergeCell ref="A158:A162"/>
    <mergeCell ref="C120:C121"/>
    <mergeCell ref="A23:D23"/>
    <mergeCell ref="A24:D24"/>
    <mergeCell ref="A912:A917"/>
    <mergeCell ref="C825:C832"/>
    <mergeCell ref="C799:C802"/>
    <mergeCell ref="A799:A802"/>
    <mergeCell ref="C857:C895"/>
    <mergeCell ref="A1021:A1028"/>
    <mergeCell ref="C1029:C1030"/>
    <mergeCell ref="A1029:A1030"/>
    <mergeCell ref="C1031:C1033"/>
    <mergeCell ref="A1031:A1033"/>
    <mergeCell ref="A918:A938"/>
    <mergeCell ref="A990:A994"/>
    <mergeCell ref="C986:C989"/>
    <mergeCell ref="A835:A842"/>
    <mergeCell ref="F949:F951"/>
    <mergeCell ref="C990:C994"/>
    <mergeCell ref="C964:C969"/>
    <mergeCell ref="C1274:C1276"/>
    <mergeCell ref="C803:C810"/>
    <mergeCell ref="D986:D987"/>
    <mergeCell ref="C1034:C1035"/>
    <mergeCell ref="D990:D992"/>
    <mergeCell ref="C912:C917"/>
    <mergeCell ref="C1056:C1061"/>
    <mergeCell ref="D918:D919"/>
    <mergeCell ref="D920:D921"/>
    <mergeCell ref="C1042:C1045"/>
    <mergeCell ref="C1077:C1078"/>
    <mergeCell ref="A439:A440"/>
    <mergeCell ref="A399:A400"/>
    <mergeCell ref="C399:C400"/>
    <mergeCell ref="F745:F746"/>
    <mergeCell ref="A1013:A1015"/>
    <mergeCell ref="A815:A816"/>
    <mergeCell ref="C817:C820"/>
    <mergeCell ref="E949:E951"/>
    <mergeCell ref="A825:A832"/>
    <mergeCell ref="C833:C834"/>
    <mergeCell ref="A833:A834"/>
    <mergeCell ref="F998:F999"/>
    <mergeCell ref="E1007:E1008"/>
    <mergeCell ref="F1007:F1008"/>
    <mergeCell ref="E912:E916"/>
    <mergeCell ref="F912:F916"/>
    <mergeCell ref="E961:E963"/>
    <mergeCell ref="F961:F963"/>
    <mergeCell ref="E934:E938"/>
    <mergeCell ref="F942:F945"/>
    <mergeCell ref="E942:E945"/>
    <mergeCell ref="E993:E994"/>
    <mergeCell ref="F993:F994"/>
    <mergeCell ref="E877:E878"/>
    <mergeCell ref="A358:A360"/>
    <mergeCell ref="C432:C433"/>
    <mergeCell ref="A401:A402"/>
    <mergeCell ref="A424:A427"/>
    <mergeCell ref="C361:C363"/>
    <mergeCell ref="A364:D364"/>
    <mergeCell ref="D358:D359"/>
    <mergeCell ref="C358:C360"/>
    <mergeCell ref="D361:D362"/>
    <mergeCell ref="A395:A396"/>
    <mergeCell ref="C395:C396"/>
    <mergeCell ref="C383:C384"/>
    <mergeCell ref="C381:C382"/>
    <mergeCell ref="A387:A388"/>
    <mergeCell ref="A377:A378"/>
    <mergeCell ref="A379:A380"/>
    <mergeCell ref="C424:C427"/>
    <mergeCell ref="A405:A406"/>
    <mergeCell ref="A1034:A1035"/>
    <mergeCell ref="A979:A985"/>
    <mergeCell ref="C346:C350"/>
    <mergeCell ref="B346:B350"/>
    <mergeCell ref="A346:A350"/>
    <mergeCell ref="A351:D351"/>
    <mergeCell ref="A352:A354"/>
    <mergeCell ref="C795:C798"/>
    <mergeCell ref="A795:A798"/>
    <mergeCell ref="C572:C573"/>
    <mergeCell ref="A572:A573"/>
    <mergeCell ref="C813:C814"/>
    <mergeCell ref="C815:C816"/>
    <mergeCell ref="C569:C571"/>
    <mergeCell ref="C434:C435"/>
    <mergeCell ref="A393:A394"/>
    <mergeCell ref="C393:C394"/>
    <mergeCell ref="C904:C911"/>
    <mergeCell ref="A444:A566"/>
    <mergeCell ref="A441:D441"/>
    <mergeCell ref="A407:A410"/>
    <mergeCell ref="C411:C412"/>
    <mergeCell ref="B390:B412"/>
    <mergeCell ref="A411:A412"/>
    <mergeCell ref="A1411:D1411"/>
    <mergeCell ref="A1415:D1415"/>
    <mergeCell ref="C1119:C1243"/>
    <mergeCell ref="A1119:A1243"/>
    <mergeCell ref="B1084:B1243"/>
    <mergeCell ref="A1245:D1245"/>
    <mergeCell ref="B1246:G1246"/>
    <mergeCell ref="C1086:C1088"/>
    <mergeCell ref="C1089:C1104"/>
    <mergeCell ref="A1089:A1104"/>
    <mergeCell ref="A1086:A1088"/>
    <mergeCell ref="A1084:A1085"/>
    <mergeCell ref="C1250:C1255"/>
    <mergeCell ref="A1105:A1110"/>
    <mergeCell ref="C1111:C1118"/>
    <mergeCell ref="C1105:C1110"/>
    <mergeCell ref="A1244:D1244"/>
    <mergeCell ref="A1373:D1373"/>
    <mergeCell ref="D1190:D1206"/>
    <mergeCell ref="D1208:D1223"/>
    <mergeCell ref="D1225:D1226"/>
    <mergeCell ref="D1228:D1242"/>
    <mergeCell ref="D1089:D1103"/>
    <mergeCell ref="D1119:D1143"/>
    <mergeCell ref="A939:A945"/>
    <mergeCell ref="F71:F75"/>
    <mergeCell ref="E71:E75"/>
    <mergeCell ref="E85:E88"/>
    <mergeCell ref="F85:F88"/>
    <mergeCell ref="E90:E91"/>
    <mergeCell ref="F90:F91"/>
    <mergeCell ref="D26:D27"/>
    <mergeCell ref="E28:E32"/>
    <mergeCell ref="F28:F32"/>
    <mergeCell ref="E35:E39"/>
    <mergeCell ref="F35:F39"/>
    <mergeCell ref="E42:E46"/>
    <mergeCell ref="F42:F46"/>
    <mergeCell ref="F114:F115"/>
    <mergeCell ref="E135:E137"/>
    <mergeCell ref="F135:F137"/>
    <mergeCell ref="C211:C214"/>
    <mergeCell ref="A138:D138"/>
    <mergeCell ref="D33:D34"/>
    <mergeCell ref="D40:D41"/>
    <mergeCell ref="D47:D48"/>
    <mergeCell ref="E57:E59"/>
    <mergeCell ref="F57:F59"/>
    <mergeCell ref="A1011:A1012"/>
    <mergeCell ref="D1013:D1014"/>
    <mergeCell ref="C1013:C1015"/>
    <mergeCell ref="F934:F938"/>
    <mergeCell ref="C918:C938"/>
    <mergeCell ref="F877:F878"/>
    <mergeCell ref="D879:D893"/>
    <mergeCell ref="E988:E989"/>
    <mergeCell ref="F988:F989"/>
    <mergeCell ref="A986:A989"/>
    <mergeCell ref="C970:C978"/>
    <mergeCell ref="A970:A978"/>
    <mergeCell ref="C979:C985"/>
    <mergeCell ref="D922:D923"/>
    <mergeCell ref="D924:D925"/>
    <mergeCell ref="D926:D927"/>
    <mergeCell ref="D928:D929"/>
    <mergeCell ref="D930:D931"/>
    <mergeCell ref="D932:D933"/>
    <mergeCell ref="C952:C957"/>
    <mergeCell ref="A896:A903"/>
    <mergeCell ref="E910:E911"/>
    <mergeCell ref="F910:F911"/>
    <mergeCell ref="E904:E908"/>
    <mergeCell ref="A995:A996"/>
    <mergeCell ref="C997:C999"/>
    <mergeCell ref="A997:A999"/>
    <mergeCell ref="D1001:D1002"/>
    <mergeCell ref="D1003:D1004"/>
    <mergeCell ref="C1000:C1008"/>
    <mergeCell ref="E998:E999"/>
    <mergeCell ref="C1009:C1010"/>
    <mergeCell ref="A1000:A1008"/>
    <mergeCell ref="A1009:A1010"/>
    <mergeCell ref="A1016:A1020"/>
    <mergeCell ref="B6:K6"/>
    <mergeCell ref="A2:K2"/>
    <mergeCell ref="B438:K438"/>
    <mergeCell ref="D370:D371"/>
    <mergeCell ref="C377:C378"/>
    <mergeCell ref="C367:C372"/>
    <mergeCell ref="C373:C376"/>
    <mergeCell ref="C379:C380"/>
    <mergeCell ref="A964:A969"/>
    <mergeCell ref="A817:A820"/>
    <mergeCell ref="C821:C822"/>
    <mergeCell ref="A821:A822"/>
    <mergeCell ref="C823:C824"/>
    <mergeCell ref="A823:A824"/>
    <mergeCell ref="A958:A963"/>
    <mergeCell ref="A442:D442"/>
    <mergeCell ref="A567:A568"/>
    <mergeCell ref="A952:A957"/>
    <mergeCell ref="C958:C963"/>
    <mergeCell ref="A18:A20"/>
    <mergeCell ref="B7:B22"/>
    <mergeCell ref="E1019:E1020"/>
    <mergeCell ref="C995:C996"/>
    <mergeCell ref="D1005:D1006"/>
    <mergeCell ref="C1071:C1073"/>
    <mergeCell ref="E1072:E1073"/>
    <mergeCell ref="C1021:C1028"/>
    <mergeCell ref="E1050:E1052"/>
    <mergeCell ref="C1036:C1037"/>
    <mergeCell ref="D9:D10"/>
    <mergeCell ref="C18:C20"/>
    <mergeCell ref="D18:D19"/>
    <mergeCell ref="C21:C22"/>
    <mergeCell ref="B236:K236"/>
    <mergeCell ref="E1043:E1044"/>
    <mergeCell ref="F1043:F1044"/>
    <mergeCell ref="B443:K443"/>
    <mergeCell ref="C1054:C1055"/>
    <mergeCell ref="F1019:F1020"/>
    <mergeCell ref="C1016:C1020"/>
    <mergeCell ref="C1011:C1012"/>
    <mergeCell ref="F904:F908"/>
    <mergeCell ref="C939:C945"/>
    <mergeCell ref="E65:E67"/>
    <mergeCell ref="F65:F67"/>
    <mergeCell ref="E81:E83"/>
    <mergeCell ref="C567:C568"/>
    <mergeCell ref="A21:A22"/>
    <mergeCell ref="A89:A94"/>
    <mergeCell ref="C95:C98"/>
    <mergeCell ref="A12:A13"/>
    <mergeCell ref="C12:C13"/>
    <mergeCell ref="C130:C132"/>
    <mergeCell ref="C113:C115"/>
    <mergeCell ref="B25:G25"/>
    <mergeCell ref="B223:K223"/>
    <mergeCell ref="F96:F98"/>
    <mergeCell ref="F49:F55"/>
    <mergeCell ref="C202:C207"/>
    <mergeCell ref="A139:D139"/>
    <mergeCell ref="C198:C199"/>
    <mergeCell ref="C200:C201"/>
    <mergeCell ref="C89:C92"/>
    <mergeCell ref="F81:F83"/>
    <mergeCell ref="E96:E98"/>
    <mergeCell ref="F142:F143"/>
    <mergeCell ref="E49:E55"/>
    <mergeCell ref="C14:C15"/>
    <mergeCell ref="C16:C17"/>
    <mergeCell ref="F212:F214"/>
    <mergeCell ref="E114:E115"/>
    <mergeCell ref="A857:A895"/>
    <mergeCell ref="A904:A911"/>
    <mergeCell ref="E757:E758"/>
    <mergeCell ref="F757:F758"/>
    <mergeCell ref="E725:E726"/>
    <mergeCell ref="A263:A265"/>
    <mergeCell ref="C263:C265"/>
    <mergeCell ref="E264:E265"/>
    <mergeCell ref="F264:F265"/>
    <mergeCell ref="F281:F282"/>
    <mergeCell ref="A373:A376"/>
    <mergeCell ref="A403:A404"/>
    <mergeCell ref="C403:C404"/>
    <mergeCell ref="C401:C402"/>
    <mergeCell ref="A381:A382"/>
    <mergeCell ref="A383:A384"/>
    <mergeCell ref="A385:A386"/>
    <mergeCell ref="A436:D436"/>
    <mergeCell ref="A437:D437"/>
    <mergeCell ref="C407:C410"/>
    <mergeCell ref="B414:B435"/>
    <mergeCell ref="C444:C566"/>
    <mergeCell ref="A414:A415"/>
    <mergeCell ref="C414:C415"/>
    <mergeCell ref="F1050:F1052"/>
    <mergeCell ref="A266:A268"/>
    <mergeCell ref="B237:B268"/>
    <mergeCell ref="C266:C268"/>
    <mergeCell ref="E267:E268"/>
    <mergeCell ref="F267:F268"/>
    <mergeCell ref="B322:K322"/>
    <mergeCell ref="E332:E333"/>
    <mergeCell ref="A341:A342"/>
    <mergeCell ref="B323:B342"/>
    <mergeCell ref="C341:C342"/>
    <mergeCell ref="C244:C248"/>
    <mergeCell ref="E245:E248"/>
    <mergeCell ref="F245:F248"/>
    <mergeCell ref="A255:A258"/>
    <mergeCell ref="C255:C258"/>
    <mergeCell ref="E256:E258"/>
    <mergeCell ref="D1016:D1018"/>
    <mergeCell ref="F1022:F1027"/>
    <mergeCell ref="C580:C786"/>
    <mergeCell ref="F256:F258"/>
    <mergeCell ref="F1046:F1047"/>
    <mergeCell ref="B444:B1080"/>
    <mergeCell ref="A569:A571"/>
    <mergeCell ref="E1066:E1068"/>
    <mergeCell ref="F1066:F1068"/>
    <mergeCell ref="C1062:C1063"/>
    <mergeCell ref="E1058:E1061"/>
    <mergeCell ref="F1058:F1061"/>
    <mergeCell ref="C1069:C1070"/>
    <mergeCell ref="A1071:A1073"/>
    <mergeCell ref="A1074:A1076"/>
    <mergeCell ref="A1077:A1078"/>
    <mergeCell ref="C1074:C1076"/>
    <mergeCell ref="E278:E279"/>
    <mergeCell ref="F278:F279"/>
    <mergeCell ref="E294:E296"/>
    <mergeCell ref="F294:F296"/>
    <mergeCell ref="E1388:E1389"/>
    <mergeCell ref="F1388:F1389"/>
    <mergeCell ref="B1375:K1375"/>
    <mergeCell ref="A1038:A1041"/>
    <mergeCell ref="A1042:A1045"/>
    <mergeCell ref="A1046:A1048"/>
    <mergeCell ref="A1049:A1053"/>
    <mergeCell ref="A1054:A1055"/>
    <mergeCell ref="A1056:A1061"/>
    <mergeCell ref="A1062:A1063"/>
    <mergeCell ref="A1064:A1068"/>
    <mergeCell ref="A1069:A1070"/>
    <mergeCell ref="C1038:C1041"/>
    <mergeCell ref="E1039:E1040"/>
    <mergeCell ref="F1039:F1040"/>
    <mergeCell ref="C1049:C1053"/>
    <mergeCell ref="C1046:C1048"/>
    <mergeCell ref="E1046:E1047"/>
    <mergeCell ref="A1279:C1279"/>
    <mergeCell ref="F1072:F1073"/>
    <mergeCell ref="A1280:A1325"/>
    <mergeCell ref="A1370:A1372"/>
    <mergeCell ref="A432:A433"/>
    <mergeCell ref="A434:A435"/>
    <mergeCell ref="A182:A184"/>
    <mergeCell ref="C62:C88"/>
    <mergeCell ref="C26:C61"/>
    <mergeCell ref="A1416:D1416"/>
    <mergeCell ref="A413:D413"/>
    <mergeCell ref="C1064:C1068"/>
    <mergeCell ref="A1079:A1080"/>
    <mergeCell ref="D1086:D1087"/>
    <mergeCell ref="C1256:C1257"/>
    <mergeCell ref="C1258:C1264"/>
    <mergeCell ref="C1266:C1269"/>
    <mergeCell ref="A1256:A1257"/>
    <mergeCell ref="A1258:A1264"/>
    <mergeCell ref="A1266:A1269"/>
    <mergeCell ref="A1274:A1276"/>
    <mergeCell ref="C1247:C1249"/>
    <mergeCell ref="A1111:A1118"/>
    <mergeCell ref="C1079:C1080"/>
    <mergeCell ref="A1036:A1037"/>
    <mergeCell ref="A580:A786"/>
  </mergeCells>
  <conditionalFormatting sqref="E1342:E1343">
    <cfRule type="containsText" dxfId="7" priority="4" operator="containsText" text="046 0407 0910151299">
      <formula>NOT(ISERROR(SEARCH("046 0407 0910151299",E1342)))</formula>
    </cfRule>
  </conditionalFormatting>
  <conditionalFormatting sqref="E1362:F1362 E1363">
    <cfRule type="containsText" dxfId="6" priority="3" operator="containsText" text="046 0407 0910151299">
      <formula>NOT(ISERROR(SEARCH("046 0407 0910151299",E1362)))</formula>
    </cfRule>
  </conditionalFormatting>
  <pageMargins left="0.39370078740157483" right="0.39370078740157483" top="0.39370078740157483" bottom="0.39370078740157483" header="0.31496062992125984" footer="0.31496062992125984"/>
  <pageSetup paperSize="9" scale="35" fitToHeight="0" orientation="landscape" r:id="rId1"/>
  <headerFooter differentFirst="1">
    <oddHeader>&amp;C&amp;"Times New Roman,обычный"&amp;12&amp;P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Пляскин Семен Геннадьевич</cp:lastModifiedBy>
  <cp:lastPrinted>2018-12-25T02:14:42Z</cp:lastPrinted>
  <dcterms:created xsi:type="dcterms:W3CDTF">2017-11-20T07:07:11Z</dcterms:created>
  <dcterms:modified xsi:type="dcterms:W3CDTF">2018-12-27T08:08:56Z</dcterms:modified>
</cp:coreProperties>
</file>