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0" windowWidth="22995" windowHeight="114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Лист1!$A$3:$M$1488</definedName>
    <definedName name="_xlnm._FilterDatabase" localSheetId="1" hidden="1">Лист2!$A$1:$I$229</definedName>
    <definedName name="_xlnm.Print_Titles" localSheetId="0">Лист1!$3:$4</definedName>
    <definedName name="_xlnm.Print_Area" localSheetId="0">Лист1!$A$1:$I$1488</definedName>
  </definedNames>
  <calcPr calcId="145621"/>
</workbook>
</file>

<file path=xl/calcChain.xml><?xml version="1.0" encoding="utf-8"?>
<calcChain xmlns="http://schemas.openxmlformats.org/spreadsheetml/2006/main">
  <c r="I1488" i="1" l="1"/>
  <c r="H1488" i="1"/>
  <c r="G1488" i="1"/>
  <c r="I1030" i="1" l="1"/>
  <c r="H1030" i="1"/>
  <c r="I1011" i="1"/>
  <c r="H1011" i="1"/>
  <c r="G1460" i="1"/>
  <c r="I1486" i="1"/>
  <c r="H1486" i="1" l="1"/>
  <c r="G1486" i="1"/>
  <c r="H1474" i="1" l="1"/>
  <c r="H1487" i="1" s="1"/>
  <c r="I1474" i="1"/>
  <c r="I1487" i="1" s="1"/>
  <c r="G1474" i="1"/>
  <c r="G1487" i="1" s="1"/>
  <c r="I1233" i="1" l="1"/>
  <c r="G1233" i="1"/>
  <c r="I302" i="1" l="1"/>
  <c r="H302" i="1" s="1"/>
  <c r="I300" i="1"/>
  <c r="H300" i="1" s="1"/>
  <c r="G203" i="1"/>
  <c r="I306" i="1" l="1"/>
  <c r="I301" i="1"/>
  <c r="I292" i="1"/>
  <c r="H292" i="1" s="1"/>
  <c r="G292" i="1" s="1"/>
  <c r="I130" i="1" l="1"/>
  <c r="I131" i="1" s="1"/>
  <c r="I78" i="1"/>
  <c r="I222" i="2"/>
  <c r="G222" i="2"/>
  <c r="I200" i="2"/>
  <c r="H200" i="2"/>
  <c r="I199" i="2"/>
  <c r="H199" i="2"/>
  <c r="I198" i="2"/>
  <c r="H198" i="2"/>
  <c r="G198" i="2"/>
  <c r="I197" i="2"/>
  <c r="H197" i="2"/>
  <c r="G197" i="2"/>
  <c r="I196" i="2"/>
  <c r="H196" i="2"/>
  <c r="G196" i="2"/>
  <c r="I195" i="2"/>
  <c r="H195" i="2"/>
  <c r="I194" i="2"/>
  <c r="H194" i="2"/>
  <c r="G194" i="2"/>
  <c r="I193" i="2"/>
  <c r="H193" i="2"/>
  <c r="G193" i="2"/>
  <c r="G192" i="2"/>
  <c r="I191" i="2"/>
  <c r="H191" i="2"/>
  <c r="G191" i="2"/>
  <c r="I177" i="2"/>
  <c r="G177" i="2"/>
  <c r="I173" i="2"/>
  <c r="G173" i="2"/>
  <c r="I169" i="2"/>
  <c r="G169" i="2"/>
  <c r="I154" i="2"/>
  <c r="H154" i="2"/>
  <c r="G154" i="2"/>
  <c r="I150" i="2"/>
  <c r="H150" i="2"/>
  <c r="G150" i="2"/>
  <c r="I144" i="2"/>
  <c r="H144" i="2"/>
  <c r="G144" i="2"/>
  <c r="I138" i="2"/>
  <c r="H138" i="2"/>
  <c r="G138" i="2"/>
  <c r="I129" i="2"/>
  <c r="G129" i="2"/>
  <c r="I124" i="2"/>
  <c r="H124" i="2"/>
  <c r="G124" i="2"/>
  <c r="I123" i="2"/>
  <c r="G123" i="2"/>
  <c r="I97" i="2"/>
  <c r="G97" i="2"/>
  <c r="I94" i="2"/>
  <c r="G94" i="2"/>
  <c r="I93" i="2"/>
  <c r="G93" i="2"/>
  <c r="I88" i="2"/>
  <c r="G88" i="2"/>
  <c r="I80" i="2"/>
  <c r="G80" i="2"/>
  <c r="I77" i="2"/>
  <c r="G77" i="2"/>
  <c r="I74" i="2"/>
  <c r="G74" i="2"/>
  <c r="I73" i="2"/>
  <c r="G73" i="2"/>
  <c r="I72" i="2"/>
  <c r="G72" i="2"/>
  <c r="I69" i="2"/>
  <c r="G69" i="2"/>
  <c r="I65" i="2"/>
  <c r="G65" i="2"/>
  <c r="I64" i="2"/>
  <c r="G64" i="2"/>
  <c r="I54" i="2"/>
  <c r="G54" i="2"/>
  <c r="I39" i="2"/>
  <c r="G39" i="2"/>
  <c r="I38" i="2"/>
  <c r="G38" i="2"/>
  <c r="I34" i="2"/>
  <c r="G34" i="2"/>
  <c r="I33" i="2"/>
  <c r="G33" i="2"/>
  <c r="I32" i="2"/>
  <c r="G32" i="2"/>
  <c r="I31" i="2"/>
  <c r="G31" i="2"/>
  <c r="I30" i="2"/>
  <c r="G30" i="2"/>
  <c r="I29" i="2"/>
  <c r="G29" i="2"/>
  <c r="I25" i="2"/>
  <c r="G25" i="2"/>
  <c r="I24" i="2"/>
  <c r="G24" i="2"/>
  <c r="I23" i="2"/>
  <c r="G23" i="2"/>
  <c r="I22" i="2"/>
  <c r="G22" i="2"/>
  <c r="I21" i="2"/>
  <c r="G21" i="2"/>
  <c r="I17" i="2"/>
  <c r="G17" i="2"/>
  <c r="G16" i="2"/>
  <c r="I15" i="2"/>
  <c r="G15" i="2"/>
  <c r="I14" i="2"/>
  <c r="G14" i="2"/>
  <c r="I13" i="2"/>
  <c r="G13" i="2"/>
  <c r="I9" i="2"/>
  <c r="G9" i="2"/>
  <c r="I8" i="2"/>
  <c r="H8" i="2"/>
  <c r="H228" i="2" s="1"/>
  <c r="H229" i="2" s="1"/>
  <c r="G8" i="2"/>
  <c r="I6" i="2"/>
  <c r="G6" i="2"/>
  <c r="I5" i="2"/>
  <c r="I228" i="2" s="1"/>
  <c r="I229" i="2" s="1"/>
  <c r="G5" i="2"/>
  <c r="G1461" i="1"/>
  <c r="H1455" i="1"/>
  <c r="H1453" i="1"/>
  <c r="H1449" i="1"/>
  <c r="H1441" i="1"/>
  <c r="H1439" i="1"/>
  <c r="I1436" i="1"/>
  <c r="I1434" i="1"/>
  <c r="I1432" i="1"/>
  <c r="I1430" i="1"/>
  <c r="I1428" i="1"/>
  <c r="H1407" i="1"/>
  <c r="H1405" i="1"/>
  <c r="H1403" i="1"/>
  <c r="I1401" i="1"/>
  <c r="I1460" i="1" s="1"/>
  <c r="H1401" i="1"/>
  <c r="H1399" i="1"/>
  <c r="H1397" i="1"/>
  <c r="H1395" i="1"/>
  <c r="H1391" i="1"/>
  <c r="H1389" i="1"/>
  <c r="H1381" i="1"/>
  <c r="H1377" i="1"/>
  <c r="H1341" i="1"/>
  <c r="H1339" i="1"/>
  <c r="H1327" i="1"/>
  <c r="H1319" i="1"/>
  <c r="I1273" i="1"/>
  <c r="G1273" i="1"/>
  <c r="I1254" i="1"/>
  <c r="H1254" i="1"/>
  <c r="I1253" i="1"/>
  <c r="H1253" i="1"/>
  <c r="I1252" i="1"/>
  <c r="H1252" i="1"/>
  <c r="G1252" i="1"/>
  <c r="I1251" i="1"/>
  <c r="H1251" i="1"/>
  <c r="G1251" i="1"/>
  <c r="I1250" i="1"/>
  <c r="H1250" i="1"/>
  <c r="G1250" i="1"/>
  <c r="I1249" i="1"/>
  <c r="H1249" i="1"/>
  <c r="I1248" i="1"/>
  <c r="H1248" i="1"/>
  <c r="G1248" i="1"/>
  <c r="I1247" i="1"/>
  <c r="H1247" i="1"/>
  <c r="G1247" i="1"/>
  <c r="G1246" i="1"/>
  <c r="I1245" i="1"/>
  <c r="H1245" i="1"/>
  <c r="G1245" i="1"/>
  <c r="I1230" i="1"/>
  <c r="G1230" i="1"/>
  <c r="I1226" i="1"/>
  <c r="G1226" i="1"/>
  <c r="I1211" i="1"/>
  <c r="H1211" i="1"/>
  <c r="G1211" i="1"/>
  <c r="I1208" i="1"/>
  <c r="H1208" i="1"/>
  <c r="G1208" i="1"/>
  <c r="I1202" i="1"/>
  <c r="H1202" i="1"/>
  <c r="G1202" i="1"/>
  <c r="I1197" i="1"/>
  <c r="H1197" i="1"/>
  <c r="G1197" i="1"/>
  <c r="I1189" i="1"/>
  <c r="G1189" i="1"/>
  <c r="I1187" i="1"/>
  <c r="H1187" i="1"/>
  <c r="G1187" i="1"/>
  <c r="I1186" i="1"/>
  <c r="G1186" i="1"/>
  <c r="I1160" i="1"/>
  <c r="G1160" i="1"/>
  <c r="I1158" i="1"/>
  <c r="G1158" i="1"/>
  <c r="I1157" i="1"/>
  <c r="G1157" i="1"/>
  <c r="I1155" i="1"/>
  <c r="G1155" i="1"/>
  <c r="I1147" i="1"/>
  <c r="G1147" i="1"/>
  <c r="I1144" i="1"/>
  <c r="G1144" i="1"/>
  <c r="I1142" i="1"/>
  <c r="G1142" i="1"/>
  <c r="I1141" i="1"/>
  <c r="G1141" i="1"/>
  <c r="I1140" i="1"/>
  <c r="G1140" i="1"/>
  <c r="I1137" i="1"/>
  <c r="G1137" i="1"/>
  <c r="I1135" i="1"/>
  <c r="G1135" i="1"/>
  <c r="I1134" i="1"/>
  <c r="G1134" i="1"/>
  <c r="I1125" i="1"/>
  <c r="G1125" i="1"/>
  <c r="I1113" i="1"/>
  <c r="G1113" i="1"/>
  <c r="I1112" i="1"/>
  <c r="G1112" i="1"/>
  <c r="I1109" i="1"/>
  <c r="G1109" i="1"/>
  <c r="I1108" i="1"/>
  <c r="G1108" i="1"/>
  <c r="I1107" i="1"/>
  <c r="G1107" i="1"/>
  <c r="I1106" i="1"/>
  <c r="G1106" i="1"/>
  <c r="I1105" i="1"/>
  <c r="G1105" i="1"/>
  <c r="I1104" i="1"/>
  <c r="G1104" i="1"/>
  <c r="I1101" i="1"/>
  <c r="G1101" i="1"/>
  <c r="I1100" i="1"/>
  <c r="G1100" i="1"/>
  <c r="I1099" i="1"/>
  <c r="G1099" i="1"/>
  <c r="I1098" i="1"/>
  <c r="G1098" i="1"/>
  <c r="I1097" i="1"/>
  <c r="G1097" i="1"/>
  <c r="I1094" i="1"/>
  <c r="G1094" i="1"/>
  <c r="G1093" i="1"/>
  <c r="I1092" i="1"/>
  <c r="G1092" i="1"/>
  <c r="I1091" i="1"/>
  <c r="G1091" i="1"/>
  <c r="I1090" i="1"/>
  <c r="G1090" i="1"/>
  <c r="I1087" i="1"/>
  <c r="G1087" i="1"/>
  <c r="I1086" i="1"/>
  <c r="H1086" i="1"/>
  <c r="G1086" i="1"/>
  <c r="I1085" i="1"/>
  <c r="G1085" i="1"/>
  <c r="I1084" i="1"/>
  <c r="G1084" i="1"/>
  <c r="I1050" i="1"/>
  <c r="H1050" i="1"/>
  <c r="I1049" i="1"/>
  <c r="H1049" i="1"/>
  <c r="I1048" i="1"/>
  <c r="H1048" i="1"/>
  <c r="I1044" i="1"/>
  <c r="H1044" i="1"/>
  <c r="I1042" i="1"/>
  <c r="H1042" i="1"/>
  <c r="I1040" i="1"/>
  <c r="H1040" i="1"/>
  <c r="I1039" i="1"/>
  <c r="H1039" i="1"/>
  <c r="I1002" i="1"/>
  <c r="H1002" i="1"/>
  <c r="G1002" i="1"/>
  <c r="G1080" i="1" s="1"/>
  <c r="I983" i="1"/>
  <c r="H983" i="1"/>
  <c r="G981" i="1"/>
  <c r="G967" i="1"/>
  <c r="I951" i="1"/>
  <c r="H951" i="1"/>
  <c r="G951" i="1"/>
  <c r="H949" i="1"/>
  <c r="I947" i="1"/>
  <c r="H947" i="1"/>
  <c r="G947" i="1"/>
  <c r="H945" i="1"/>
  <c r="H929" i="1"/>
  <c r="G929" i="1"/>
  <c r="H893" i="1"/>
  <c r="I859" i="1"/>
  <c r="H859" i="1"/>
  <c r="G859" i="1"/>
  <c r="G815" i="1"/>
  <c r="I789" i="1"/>
  <c r="H789" i="1"/>
  <c r="G789" i="1"/>
  <c r="I777" i="1"/>
  <c r="H777" i="1"/>
  <c r="G777" i="1"/>
  <c r="H753" i="1"/>
  <c r="I643" i="1"/>
  <c r="H605" i="1"/>
  <c r="H599" i="1"/>
  <c r="H493" i="1"/>
  <c r="I429" i="1"/>
  <c r="H429" i="1"/>
  <c r="I423" i="1"/>
  <c r="H423" i="1"/>
  <c r="I421" i="1"/>
  <c r="H421" i="1"/>
  <c r="H1460" i="1" l="1"/>
  <c r="H1461" i="1" s="1"/>
  <c r="I1274" i="1"/>
  <c r="H1274" i="1"/>
  <c r="H1275" i="1" s="1"/>
  <c r="I1461" i="1"/>
  <c r="G1274" i="1"/>
  <c r="G1275" i="1" s="1"/>
  <c r="I1275" i="1"/>
  <c r="H1079" i="1"/>
  <c r="H1080" i="1" s="1"/>
  <c r="I986" i="1"/>
  <c r="I987" i="1" s="1"/>
  <c r="I1079" i="1"/>
  <c r="I1080" i="1" s="1"/>
  <c r="G986" i="1"/>
  <c r="G987" i="1" s="1"/>
  <c r="H986" i="1"/>
  <c r="H987" i="1" s="1"/>
  <c r="G228" i="2"/>
  <c r="G229" i="2" s="1"/>
  <c r="I57" i="1"/>
  <c r="I55" i="1"/>
  <c r="I53" i="1"/>
  <c r="I51" i="1"/>
  <c r="I49" i="1"/>
  <c r="I47" i="1"/>
  <c r="I45" i="1"/>
  <c r="I43" i="1"/>
  <c r="H57" i="1"/>
  <c r="G57" i="1"/>
  <c r="H55" i="1"/>
  <c r="G55" i="1"/>
  <c r="H53" i="1"/>
  <c r="G53" i="1"/>
  <c r="H51" i="1"/>
  <c r="G51" i="1"/>
  <c r="H49" i="1"/>
  <c r="G49" i="1"/>
  <c r="H47" i="1"/>
  <c r="G47" i="1"/>
  <c r="H45" i="1"/>
  <c r="G45" i="1"/>
  <c r="H43" i="1"/>
  <c r="G43" i="1"/>
  <c r="I39" i="1"/>
  <c r="I37" i="1"/>
  <c r="I35" i="1"/>
  <c r="I33" i="1"/>
  <c r="I31" i="1"/>
  <c r="I29" i="1"/>
  <c r="I27" i="1"/>
  <c r="I25" i="1"/>
  <c r="I23" i="1"/>
  <c r="I21" i="1"/>
  <c r="I19" i="1"/>
  <c r="I17" i="1"/>
  <c r="I7" i="1"/>
  <c r="H39" i="1"/>
  <c r="G39" i="1"/>
  <c r="H37" i="1"/>
  <c r="G37" i="1"/>
  <c r="H35" i="1"/>
  <c r="G35" i="1"/>
  <c r="H33" i="1"/>
  <c r="G33" i="1"/>
  <c r="H31" i="1"/>
  <c r="G31" i="1"/>
  <c r="H29" i="1"/>
  <c r="G29" i="1"/>
  <c r="H27" i="1"/>
  <c r="G27" i="1"/>
  <c r="H25" i="1"/>
  <c r="G25" i="1"/>
  <c r="H23" i="1"/>
  <c r="G23" i="1"/>
  <c r="H21" i="1"/>
  <c r="G21" i="1"/>
  <c r="H19" i="1"/>
  <c r="G19" i="1"/>
  <c r="H17" i="1"/>
  <c r="G17" i="1"/>
  <c r="H15" i="1"/>
  <c r="G15" i="1"/>
  <c r="H13" i="1"/>
  <c r="G13" i="1"/>
  <c r="H11" i="1"/>
  <c r="G11" i="1"/>
  <c r="H9" i="1"/>
  <c r="G9" i="1"/>
  <c r="H7" i="1"/>
  <c r="G7" i="1"/>
  <c r="H41" i="1" l="1"/>
  <c r="G41" i="1"/>
  <c r="H59" i="1"/>
  <c r="I41" i="1"/>
  <c r="G59" i="1"/>
  <c r="I59" i="1"/>
  <c r="I417" i="1"/>
  <c r="H417" i="1"/>
  <c r="G417" i="1"/>
  <c r="G312" i="1"/>
  <c r="G310" i="1"/>
  <c r="I305" i="1"/>
  <c r="I318" i="1" s="1"/>
  <c r="G277" i="1"/>
  <c r="G275" i="1"/>
  <c r="G273" i="1"/>
  <c r="G271" i="1"/>
  <c r="G269" i="1"/>
  <c r="H267" i="1"/>
  <c r="H318" i="1" s="1"/>
  <c r="G267" i="1"/>
  <c r="G265" i="1"/>
  <c r="G263" i="1"/>
  <c r="G261" i="1"/>
  <c r="G259" i="1"/>
  <c r="G257" i="1"/>
  <c r="G254" i="1"/>
  <c r="G252" i="1"/>
  <c r="G250" i="1"/>
  <c r="G248" i="1"/>
  <c r="G246" i="1"/>
  <c r="G244" i="1"/>
  <c r="H240" i="1"/>
  <c r="H241" i="1" s="1"/>
  <c r="G240" i="1"/>
  <c r="G241" i="1" s="1"/>
  <c r="I239" i="1"/>
  <c r="I237" i="1"/>
  <c r="I235" i="1"/>
  <c r="I233" i="1"/>
  <c r="I231" i="1"/>
  <c r="I229" i="1"/>
  <c r="I227" i="1"/>
  <c r="I225" i="1"/>
  <c r="I223" i="1"/>
  <c r="I221" i="1"/>
  <c r="I219" i="1"/>
  <c r="I217" i="1"/>
  <c r="I215" i="1"/>
  <c r="I213" i="1"/>
  <c r="I211" i="1"/>
  <c r="I209" i="1"/>
  <c r="I207" i="1"/>
  <c r="H206" i="1"/>
  <c r="G206" i="1" s="1"/>
  <c r="G204" i="1"/>
  <c r="I201" i="1"/>
  <c r="I198" i="1"/>
  <c r="I195" i="1"/>
  <c r="I192" i="1"/>
  <c r="I189" i="1"/>
  <c r="I187" i="1"/>
  <c r="I186" i="1"/>
  <c r="I185" i="1"/>
  <c r="I183" i="1"/>
  <c r="I181" i="1"/>
  <c r="I178" i="1"/>
  <c r="I174" i="1"/>
  <c r="I173" i="1"/>
  <c r="I172" i="1"/>
  <c r="I171" i="1"/>
  <c r="I170" i="1"/>
  <c r="I169" i="1"/>
  <c r="I164" i="1"/>
  <c r="I163" i="1"/>
  <c r="I162" i="1"/>
  <c r="I161" i="1"/>
  <c r="I160" i="1"/>
  <c r="I158" i="1"/>
  <c r="I157" i="1"/>
  <c r="I155" i="1"/>
  <c r="H154" i="1"/>
  <c r="I154" i="1" s="1"/>
  <c r="I153" i="1"/>
  <c r="H150" i="1"/>
  <c r="I149" i="1"/>
  <c r="H148" i="1"/>
  <c r="I147" i="1"/>
  <c r="I146" i="1"/>
  <c r="I144" i="1"/>
  <c r="H142" i="1"/>
  <c r="G142" i="1"/>
  <c r="I141" i="1"/>
  <c r="I142" i="1" s="1"/>
  <c r="H141" i="1"/>
  <c r="G141" i="1"/>
  <c r="H130" i="1"/>
  <c r="H131" i="1" s="1"/>
  <c r="G130" i="1"/>
  <c r="G131" i="1" s="1"/>
  <c r="I124" i="1"/>
  <c r="I122" i="1"/>
  <c r="I120" i="1"/>
  <c r="I118" i="1"/>
  <c r="I112" i="1"/>
  <c r="H110" i="1"/>
  <c r="I110" i="1" s="1"/>
  <c r="I109" i="1"/>
  <c r="H108" i="1"/>
  <c r="I108" i="1" s="1"/>
  <c r="G108" i="1"/>
  <c r="I106" i="1"/>
  <c r="H105" i="1"/>
  <c r="I105" i="1" s="1"/>
  <c r="G105" i="1"/>
  <c r="H103" i="1"/>
  <c r="H102" i="1"/>
  <c r="H101" i="1"/>
  <c r="I101" i="1" s="1"/>
  <c r="G101" i="1"/>
  <c r="I100" i="1"/>
  <c r="H100" i="1"/>
  <c r="G100" i="1"/>
  <c r="H99" i="1"/>
  <c r="I99" i="1" s="1"/>
  <c r="G99" i="1"/>
  <c r="I98" i="1"/>
  <c r="H98" i="1"/>
  <c r="G98" i="1"/>
  <c r="G318" i="1" l="1"/>
  <c r="G418" i="1" s="1"/>
  <c r="H203" i="1"/>
  <c r="H204" i="1" s="1"/>
  <c r="I203" i="1"/>
  <c r="I204" i="1" s="1"/>
  <c r="G60" i="1"/>
  <c r="I418" i="1"/>
  <c r="H60" i="1"/>
  <c r="H418" i="1"/>
  <c r="I240" i="1"/>
  <c r="I241" i="1" s="1"/>
  <c r="G125" i="1"/>
  <c r="G126" i="1" s="1"/>
  <c r="I125" i="1"/>
  <c r="I126" i="1" s="1"/>
  <c r="H125" i="1"/>
  <c r="H126" i="1" s="1"/>
  <c r="I92" i="1" l="1"/>
  <c r="I93" i="1" s="1"/>
  <c r="H92" i="1"/>
  <c r="H93" i="1" s="1"/>
  <c r="G92" i="1"/>
  <c r="G93" i="1" s="1"/>
  <c r="I83" i="1" l="1"/>
  <c r="I84" i="1" s="1"/>
  <c r="H83" i="1"/>
  <c r="H84" i="1" s="1"/>
  <c r="G83" i="1"/>
  <c r="G84" i="1" s="1"/>
  <c r="I79" i="1" l="1"/>
  <c r="H78" i="1"/>
  <c r="H79" i="1" s="1"/>
  <c r="G78" i="1"/>
  <c r="G79" i="1" s="1"/>
  <c r="I60" i="1" l="1"/>
</calcChain>
</file>

<file path=xl/sharedStrings.xml><?xml version="1.0" encoding="utf-8"?>
<sst xmlns="http://schemas.openxmlformats.org/spreadsheetml/2006/main" count="6209" uniqueCount="2384">
  <si>
    <t>№ п/п</t>
  </si>
  <si>
    <t>Наименование государственной программы</t>
  </si>
  <si>
    <t>Наименование государственной
услуги (работы)</t>
  </si>
  <si>
    <t xml:space="preserve">Коды </t>
  </si>
  <si>
    <t>Наименование показателя</t>
  </si>
  <si>
    <t>Единица
измерения</t>
  </si>
  <si>
    <t>тыс.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</si>
  <si>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</si>
  <si>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</si>
  <si>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</si>
  <si>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</si>
  <si>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</si>
  <si>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</si>
  <si>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</si>
  <si>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</si>
  <si>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</si>
  <si>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Объем субсидий на
финансовое обеспечение
оказания государственных
услуг (выполнения работ)</t>
  </si>
  <si>
    <t>Объем субсидий на финансовое обеспечение оказания государственных услуг (выполнения работ)</t>
  </si>
  <si>
    <t>Оказание информационных услуг на основе архивных документов</t>
  </si>
  <si>
    <t>Обеспечение сохранности и учет архивных документов</t>
  </si>
  <si>
    <t>Проведение обследования объектов недвижимого имущества в целях определения вида фактического использования зданий (сооружений) и помещений, налоговая база которых определяется как кадастровая стоимость имущества</t>
  </si>
  <si>
    <t>Описание границ муниципальных образований</t>
  </si>
  <si>
    <t>Организация и проведение культурно-массовых мероприятий</t>
  </si>
  <si>
    <t>Количество проведенных мероприятий</t>
  </si>
  <si>
    <t>Библиотечное, библиографическое и информационное обслуживание пользователей бибилиотеки</t>
  </si>
  <si>
    <t>Количество посещений</t>
  </si>
  <si>
    <t>Создание концертов и концертных программ</t>
  </si>
  <si>
    <t>Количество новых (капитально-возобновленных) концертов</t>
  </si>
  <si>
    <t>Создание экспозиций (выставок) музеев, организация выездных выставок</t>
  </si>
  <si>
    <t>Количество экспозиций</t>
  </si>
  <si>
    <t>Создание спектаклей</t>
  </si>
  <si>
    <t>Количество новых (капитально-возобновленных) постановок</t>
  </si>
  <si>
    <t>Организация показа спектаклей</t>
  </si>
  <si>
    <t>Количество работ</t>
  </si>
  <si>
    <t>Организация показа концертов и концертных программ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</si>
  <si>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</si>
  <si>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Количество мероприятий</t>
  </si>
  <si>
    <t>Объем хранимых дел (документов)</t>
  </si>
  <si>
    <t>Количество изготовленных запрашиваемых документов</t>
  </si>
  <si>
    <t>Количество отчетов, составленных по результатам работы</t>
  </si>
  <si>
    <t>10</t>
  </si>
  <si>
    <t>11</t>
  </si>
  <si>
    <t>12</t>
  </si>
  <si>
    <t>13</t>
  </si>
  <si>
    <t>14</t>
  </si>
  <si>
    <t>Количество проведенных экспертиз</t>
  </si>
  <si>
    <t>15</t>
  </si>
  <si>
    <t>16</t>
  </si>
  <si>
    <t>Фактическое исполнение за 2020 год</t>
  </si>
  <si>
    <t>17</t>
  </si>
  <si>
    <t>Сведения о выполнении государственными учреждениями Забайкальского края государственных заданий на оказание государственных услуг (выполнение работ), 
а также об объемах средств на их финансовое обеспечение за 2020 год</t>
  </si>
  <si>
    <t>Департамент по гражданской обороне и пожарной безопасности Забайкальского края</t>
  </si>
  <si>
    <t xml:space="preserve">Реализация дополнительных профессиональных образовательных программ повышения квалификации </t>
  </si>
  <si>
    <t>Количество человеко-часов</t>
  </si>
  <si>
    <t>человеко-час</t>
  </si>
  <si>
    <t>тыс. руб</t>
  </si>
  <si>
    <t>Ведение информационных ресурсов и баз данных</t>
  </si>
  <si>
    <t>Количество отработанных часов средствами видеофиксации</t>
  </si>
  <si>
    <t>час</t>
  </si>
  <si>
    <t>Техническое сопровождение и эксплуатация, вывод из эксплуатации информационных систем и компанентов информационно-телекоммуникационной инфраструктуры</t>
  </si>
  <si>
    <t>Количество автоматизированных рабочих мест</t>
  </si>
  <si>
    <t>Сбор, анализ и обмен информацией о прогнозируемых и возникших чрезвычайных ситуациях, по своевременному оповещению и информированию населения об угрозе возникновения или о возникновении чрезвычайных ситуаций и принимаемых  мерах по обеспеению безопасности населения</t>
  </si>
  <si>
    <t>Мероприятия в сфере гражданской обороны</t>
  </si>
  <si>
    <t>Защита населений и территорий от чрезвычайных ситуаций природного и техногенного характера (за исключением обеспечения безопасности на водных объектах)</t>
  </si>
  <si>
    <t>Количество поисковых и аварийно-спасательных работ</t>
  </si>
  <si>
    <t xml:space="preserve">Обеспечение пожарной безопасности </t>
  </si>
  <si>
    <t>Машино-выезд</t>
  </si>
  <si>
    <t>Итого по государственной программе</t>
  </si>
  <si>
    <t xml:space="preserve">тыс. руб.
</t>
  </si>
  <si>
    <t>2.</t>
  </si>
  <si>
    <t>3.</t>
  </si>
  <si>
    <t>Налоги</t>
  </si>
  <si>
    <t>18</t>
  </si>
  <si>
    <t xml:space="preserve">1. </t>
  </si>
  <si>
    <t>4.</t>
  </si>
  <si>
    <t>5.</t>
  </si>
  <si>
    <t>6.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</si>
  <si>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</si>
  <si>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Число получателей социальных услуг</t>
  </si>
  <si>
    <t>Содержание и воспитание детей-сирот и детей, оставшихся без попечения родителей, детей, находящихся в трудной жизненной ситуации</t>
  </si>
  <si>
    <t>чел.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</si>
  <si>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</si>
  <si>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Подготовка граждан, выразивших желание принять детей-сирот и детей, оставшихся без попечения родителей, на семейные формы устройства</t>
  </si>
  <si>
    <t>Заключение договоров найма специализированного жилого помещения</t>
  </si>
  <si>
    <t>Ведение бухгалтерского учета бюджетными учреждениями, формирование регистров бухгалтерского учета</t>
  </si>
  <si>
    <t>ед.</t>
  </si>
  <si>
    <t>Формирование финансовой (бухгалтерской) отчетности бюджетных и автономных учреждений</t>
  </si>
  <si>
    <t>Министерство труда и социальной защиты населения Забайкальского края</t>
  </si>
  <si>
    <t>Экономическое развитие</t>
  </si>
  <si>
    <t xml:space="preserve">Количество услуг </t>
  </si>
  <si>
    <t>Министерство экономического развития Забайкальского края</t>
  </si>
  <si>
    <t>Министерство жилищно-коммунального хозяйства, энергетики, цифровизации и связи Забайкальского края</t>
  </si>
  <si>
    <t>Осуществление функций Удостоверяющего центра</t>
  </si>
  <si>
    <t>Количество выданных ключей электронной подписи</t>
  </si>
  <si>
    <t>Ведение информационных систем и баз данных</t>
  </si>
  <si>
    <t>Ведение информационно-телекоммуникационной инфраструктуры и ее компонентов</t>
  </si>
  <si>
    <t>Количество компонентов информационно-телекоммуникационной инфраструктуры</t>
  </si>
  <si>
    <t>66</t>
  </si>
  <si>
    <t>Обеспечение сохранения и использования объектов культурного наследия</t>
  </si>
  <si>
    <t>135</t>
  </si>
  <si>
    <t>184</t>
  </si>
  <si>
    <t>Государственная служба по охране объектов культурного наследия Забайкальского края</t>
  </si>
  <si>
    <t>Экологическое просвещение населения</t>
  </si>
  <si>
    <t>шт.</t>
  </si>
  <si>
    <t>52</t>
  </si>
  <si>
    <t>Разведение племенных лошадей</t>
  </si>
  <si>
    <t>280</t>
  </si>
  <si>
    <t>Министерство сельского хозяйства Забайкальского края</t>
  </si>
  <si>
    <t>Административное обеспечение деятельности организации</t>
  </si>
  <si>
    <t>004 0801 1510212442 611</t>
  </si>
  <si>
    <t>004 0801 1520212444 611</t>
  </si>
  <si>
    <t>Библиографическая обработка документов и создание каталогов</t>
  </si>
  <si>
    <t>Библиотечное, библиографическое и информационное обслуживание пользователей библиотеки</t>
  </si>
  <si>
    <t>Ведение бухгалтерского (бюджетного) учета государственных учреждений, органов государственной власти, государственных органов Забайкальского края</t>
  </si>
  <si>
    <t>Выявление, изучение, сохранение, развитие и популяризация объектов нематериального культурного наследия народов Российской Федерации в области традиционной народной культуры</t>
  </si>
  <si>
    <t>004 0801 1510112441 621</t>
  </si>
  <si>
    <t>004 0801 1510312443 621</t>
  </si>
  <si>
    <t xml:space="preserve"> Организация деятельности клубных формирований и формирований самодеятельного народного творчества</t>
  </si>
  <si>
    <t>Осуществление издательской деятельности</t>
  </si>
  <si>
    <t>Производство и выпуск сетевого издания</t>
  </si>
  <si>
    <t>Показ кинофильмов</t>
  </si>
  <si>
    <t>Предоставление консультационных и методических услуг</t>
  </si>
  <si>
    <t>Публичный показ музейных предметов, музейных коллекций</t>
  </si>
  <si>
    <t>Работа по формированию и учету фондов фильмофонда</t>
  </si>
  <si>
    <t>Реализация дополнительных предпрофессиональных программ в области искусств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</si>
  <si>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</si>
  <si>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Содержание (эксплуатация) имущества, находящегося в государственной (муниципальной) собственности</t>
  </si>
  <si>
    <t>19</t>
  </si>
  <si>
    <t xml:space="preserve">004 0801 1510312443 621  </t>
  </si>
  <si>
    <t>20</t>
  </si>
  <si>
    <t>22</t>
  </si>
  <si>
    <t>Формирование, учет, изучение, обеспечение физического сохранения и безопасности музейных предметов, музейных коллекций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</si>
  <si>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</si>
  <si>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Министерство культуры Забайкальского края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</si>
  <si>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пчел, и их лечению</t>
  </si>
  <si>
    <t>Проведение мероприятий по защите населения от болезней, общих для человека и животных, и пищевых отравлений</t>
  </si>
  <si>
    <t>Оформление и выдача ветеринарных сопроводительных документов</t>
  </si>
  <si>
    <t>Государственная ветеринарная служба Забайкальского края</t>
  </si>
  <si>
    <t xml:space="preserve">Размещение информации </t>
  </si>
  <si>
    <t>Количество предметов</t>
  </si>
  <si>
    <t>Количество записей</t>
  </si>
  <si>
    <t>Количество объектов учета (регистров)</t>
  </si>
  <si>
    <t>Количество объектов</t>
  </si>
  <si>
    <t>Количество отчетов</t>
  </si>
  <si>
    <t>Количество номеров</t>
  </si>
  <si>
    <t>МБАЙТ</t>
  </si>
  <si>
    <t>Организация показа спектаклей (театральных постановок)</t>
  </si>
  <si>
    <t>Количество консультация</t>
  </si>
  <si>
    <t>Количество фильмов</t>
  </si>
  <si>
    <t xml:space="preserve"> ед.</t>
  </si>
  <si>
    <t>Количество едениц имущества</t>
  </si>
  <si>
    <t>Количество новых постановок</t>
  </si>
  <si>
    <t>Код (коды) бюджетной
классификации 
004 0801 1510212442 611</t>
  </si>
  <si>
    <t>Код (коды) бюджетной
классификации 
087 0405 05Д0217263 611</t>
  </si>
  <si>
    <t xml:space="preserve"> км.</t>
  </si>
  <si>
    <t xml:space="preserve"> км. </t>
  </si>
  <si>
    <t>км.</t>
  </si>
  <si>
    <t xml:space="preserve"> га.</t>
  </si>
  <si>
    <t>га</t>
  </si>
  <si>
    <t>тыс.руб.</t>
  </si>
  <si>
    <t>Предотвращение распространения на земли, на которых расположены леса, природных пожаров (степных, торфяных и иных) и пожаров, возникших в результате незаконного выжигания сухой растительности и ее остатков</t>
  </si>
  <si>
    <t xml:space="preserve"> га</t>
  </si>
  <si>
    <t>24</t>
  </si>
  <si>
    <t xml:space="preserve">га/куб.м. </t>
  </si>
  <si>
    <t>25</t>
  </si>
  <si>
    <t>27</t>
  </si>
  <si>
    <t>га /м.куб.</t>
  </si>
  <si>
    <t>28</t>
  </si>
  <si>
    <t>30</t>
  </si>
  <si>
    <t>Код (коды) бюджетной
классификации
0840217337 611</t>
  </si>
  <si>
    <t>34</t>
  </si>
  <si>
    <t>Площадь охотничьих угодий, охваченная работами</t>
  </si>
  <si>
    <t>тонн</t>
  </si>
  <si>
    <t>Количество выступлений в СМИ</t>
  </si>
  <si>
    <t>Количество публикаций</t>
  </si>
  <si>
    <t>Количество привлеченных пользователей</t>
  </si>
  <si>
    <t xml:space="preserve">Количество проведенных экскурсий </t>
  </si>
  <si>
    <t xml:space="preserve"> чел.</t>
  </si>
  <si>
    <t>44</t>
  </si>
  <si>
    <t>45</t>
  </si>
  <si>
    <t>Объем выкладываемых кормов</t>
  </si>
  <si>
    <t xml:space="preserve"> м3</t>
  </si>
  <si>
    <t>48</t>
  </si>
  <si>
    <t>Протяженность экологических троп и туристических маршрутов</t>
  </si>
  <si>
    <t>Количество проведенных экскурсий</t>
  </si>
  <si>
    <t>Количество посетителей</t>
  </si>
  <si>
    <t xml:space="preserve">га. </t>
  </si>
  <si>
    <t>Количество информационных ресурсов и баз данных</t>
  </si>
  <si>
    <t>Объем субсидий на
финансовое обеспечение
оказания государственных
услуг (выполнения работ</t>
  </si>
  <si>
    <t>Первичная медико-санитарная помощь, включенная в базовую программу обязательного медицинского страхования</t>
  </si>
  <si>
    <t>Содержание детей</t>
  </si>
  <si>
    <t>Реализация адаптированных основных общеобразовательных программ  начального общего образования</t>
  </si>
  <si>
    <t>Реализация адаптированных основных общнобразовательных программ для детей с умственной отсталостью</t>
  </si>
  <si>
    <t>Реализация основных общеобразовательных программ основного общего образования</t>
  </si>
  <si>
    <t>Предоставление питания</t>
  </si>
  <si>
    <t>Коррекционно-развивающая, компенсирующая и логопедическая  помощь обучающимся</t>
  </si>
  <si>
    <t>Реализация основных общеобразовательных программ дошкольного образования</t>
  </si>
  <si>
    <t>Реализация дополнительных общеразвивающих программ</t>
  </si>
  <si>
    <t>Организация отдыха детей и молодежи</t>
  </si>
  <si>
    <t>Реализация дополнительных общеобразовательных программ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</si>
  <si>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</si>
  <si>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среднего общего образования</t>
  </si>
  <si>
    <t>Присмотр и уход</t>
  </si>
  <si>
    <t>Методическое обеспечение образовательной деятельности</t>
  </si>
  <si>
    <t>Первичная медико-санитарная помощь, не включенная в базовую программу обязательного медицинского страхования</t>
  </si>
  <si>
    <t xml:space="preserve">Организация проведения общественно-значимых мероприятий в сфере образования, науки и молодежной политики </t>
  </si>
  <si>
    <t>Методическое  обеспечение  образовательной деятельности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</si>
  <si>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</si>
  <si>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Оценка качества образования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</si>
  <si>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способностям к занятиям физической культурой и спортом, интреса к научной (научно-исследовательской деятельности, творческой деятельности, физкультурно-спортивной деятельности</t>
  </si>
  <si>
    <t>Реализация дополнительных профессиональных программ профессиональной переподготовки</t>
  </si>
  <si>
    <t>Организация и проведение общественно значимых мероприятий в сфере образования, науки и молодежной политики</t>
  </si>
  <si>
    <t>Проведение прикладных научных исследований</t>
  </si>
  <si>
    <t>Количество научно-исследовательских работ</t>
  </si>
  <si>
    <t>Создание и развитие информационных систем и компонентов информационно-телекоммуникационной инфраструктуры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</si>
  <si>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</si>
  <si>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Количество центров обработки данных</t>
  </si>
  <si>
    <t>Коррекционно-развивающая, компенсирующая и логопедическая помощь обучающимся</t>
  </si>
  <si>
    <t>Ведение бухгалтерского учета автономными учреждениями, формирование регистров бухгалтерского учета</t>
  </si>
  <si>
    <t>Ведение бюджетного учета (формирование регистров) по всем объектам учета органов власти, казенных учреждений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</si>
  <si>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</si>
  <si>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Машино-часы работы автомобилей</t>
  </si>
  <si>
    <t>Закупка товаров, работ, услуг для обеспечения государственных нужд</t>
  </si>
  <si>
    <t>Код (коды) бюджетной
классификации
026-0704-1440111427-611</t>
  </si>
  <si>
    <t>Численность обучающихся</t>
  </si>
  <si>
    <t>Количество разработанных документов</t>
  </si>
  <si>
    <t>Число посещений</t>
  </si>
  <si>
    <t>Код (коды) бюджетной
классификации
026-0705-1470111429-611</t>
  </si>
  <si>
    <t>Количество экспертиз</t>
  </si>
  <si>
    <t>Количество отработанных отчетов</t>
  </si>
  <si>
    <t>Объем закупок</t>
  </si>
  <si>
    <t>Количество клубных формирований</t>
  </si>
  <si>
    <t>Число зрителей</t>
  </si>
  <si>
    <t>Число посетителей</t>
  </si>
  <si>
    <t>Численность граждан,получивших социальные услуги</t>
  </si>
  <si>
    <t>Численность граждан, получивших социальные услуги</t>
  </si>
  <si>
    <t>Социально-экономическое развитие Агинского Бурятского округа Забайкальского края</t>
  </si>
  <si>
    <t>кв.м.</t>
  </si>
  <si>
    <t>Объем тиража</t>
  </si>
  <si>
    <t>экз.</t>
  </si>
  <si>
    <t>Количество печатных страниц</t>
  </si>
  <si>
    <t>7483,4</t>
  </si>
  <si>
    <t>Развитие образования Забайкальского края на 2014 - 2025 годы</t>
  </si>
  <si>
    <t>7.</t>
  </si>
  <si>
    <t>8.</t>
  </si>
  <si>
    <t>9.</t>
  </si>
  <si>
    <t>Оценка качества мероприятий</t>
  </si>
  <si>
    <t>10.</t>
  </si>
  <si>
    <t>11.</t>
  </si>
  <si>
    <t>12.</t>
  </si>
  <si>
    <t xml:space="preserve">Количество экспозиций </t>
  </si>
  <si>
    <t>13.</t>
  </si>
  <si>
    <t>Формирование, учет, изучение, обеспечение физического сохранения и безопасности музейных предметов и музейных коллекций</t>
  </si>
  <si>
    <t>14.</t>
  </si>
  <si>
    <t>15.</t>
  </si>
  <si>
    <t>Административное обеспечение деятельности организации традиционной народной культуры</t>
  </si>
  <si>
    <t>16.</t>
  </si>
  <si>
    <t xml:space="preserve">Организация и проведение культурно-массовых мероприятий </t>
  </si>
  <si>
    <t>17.</t>
  </si>
  <si>
    <t>18.</t>
  </si>
  <si>
    <t>237,92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</si>
  <si>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</si>
  <si>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</si>
  <si>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</si>
  <si>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</si>
  <si>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</si>
  <si>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</si>
  <si>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</si>
  <si>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</si>
  <si>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</si>
  <si>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</si>
  <si>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</si>
  <si>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</si>
  <si>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</si>
  <si>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</si>
  <si>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Обеспечение доступа к объектам спорта</t>
  </si>
  <si>
    <t>36.</t>
  </si>
  <si>
    <t>37.</t>
  </si>
  <si>
    <t>38.</t>
  </si>
  <si>
    <t>тыс.руб</t>
  </si>
  <si>
    <t>Администрация Агинского Бурятского округа Забайкальского края</t>
  </si>
  <si>
    <t>Код (коды) бюджетной
классификации
006-1202-2130298702-611</t>
  </si>
  <si>
    <t>Код (коды) бюджетной
классификации
006-1202-2130298702-621</t>
  </si>
  <si>
    <t>Код (коды) бюджетной
классификации
006 0801 1520212444 611</t>
  </si>
  <si>
    <t>Код (коды) бюджетной
классификации
006 1103 1820113482 611</t>
  </si>
  <si>
    <t>Количество учетных записей</t>
  </si>
  <si>
    <t>Количество пользователей ИС и самостоятельных баз данных</t>
  </si>
  <si>
    <t>Количество объектов культурного наследия</t>
  </si>
  <si>
    <t>Количество эколого-простветительских мероприятий</t>
  </si>
  <si>
    <t>Поголовье племенных лошадей</t>
  </si>
  <si>
    <t xml:space="preserve">ед. </t>
  </si>
  <si>
    <t>Количество публикаций в научных журналах</t>
  </si>
  <si>
    <t>Количество ИС обеспечения специальной деятельности</t>
  </si>
  <si>
    <t xml:space="preserve">машино-часы </t>
  </si>
  <si>
    <t>Количество учетных работ</t>
  </si>
  <si>
    <t>Количество видов</t>
  </si>
  <si>
    <t xml:space="preserve"> Время работы комплексной системы информирования и оповещения населения</t>
  </si>
  <si>
    <t>Развитие здравоохранения Забайкальского края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</si>
  <si>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Наркология Амбулаторно</t>
  </si>
  <si>
    <t>Условная единица</t>
  </si>
  <si>
    <t>Число обращений</t>
  </si>
  <si>
    <t>-</t>
  </si>
  <si>
    <t xml:space="preserve">003 0901 1610413470 611    </t>
  </si>
  <si>
    <t>003 0901 1610413470 621</t>
  </si>
  <si>
    <t>003 0901 1620313470 621</t>
  </si>
  <si>
    <t xml:space="preserve">003 0901 1620913470 611     </t>
  </si>
  <si>
    <t>003 0901 1620913470 621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</si>
  <si>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Психиатрия. Амбулаторно</t>
  </si>
  <si>
    <t xml:space="preserve"> 003 0901 1610413470 611       </t>
  </si>
  <si>
    <t>003 0902 1610413471 611</t>
  </si>
  <si>
    <t>003 0901 1620913470 611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</si>
  <si>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Венерология. Амбулаторно</t>
  </si>
  <si>
    <t xml:space="preserve">003 0901 1610413470 611   </t>
  </si>
  <si>
    <t>Первичная медико-санитарная помощь, не включенная в базовую программу обязательного медицинского страхования. Первичная медико-санитарная помощь, в части диагностики и лечения. Фтизиатрия. Амбулаторно</t>
  </si>
  <si>
    <t xml:space="preserve">003 0901 1610413470 611                   </t>
  </si>
  <si>
    <t>003 0901 1620113470 611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</si>
  <si>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психиатрия-наркология. Амбулаторно.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</si>
  <si>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психиатрия. Амбулаторно.</t>
  </si>
  <si>
    <t>003 0901 1620413470 111</t>
  </si>
  <si>
    <t>003 0901 1620413470 119</t>
  </si>
  <si>
    <t>003 0901 1620413470 242</t>
  </si>
  <si>
    <t>003 0901 1620413470 244</t>
  </si>
  <si>
    <t>003 0901 1620413470 851</t>
  </si>
  <si>
    <t>Первичная медико-санитарная помощь, не включенная в базовую программу обязательного медицинского страхования. 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(ВИЧ-инфекции)). Амбулаторно.</t>
  </si>
  <si>
    <t>003 0901 1620213470 611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</si>
  <si>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Стационар.</t>
  </si>
  <si>
    <t>Случаев госпитализации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</si>
  <si>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Стационар.</t>
  </si>
  <si>
    <t>003 0901 1620413470 112</t>
  </si>
  <si>
    <t>003 0901 1620413470 852</t>
  </si>
  <si>
    <t>003 0901 1610413470 611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</si>
  <si>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</si>
  <si>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</si>
  <si>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Фтизиатрия. Дневной стационар.</t>
  </si>
  <si>
    <t>Случаев лечения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</si>
  <si>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Дерматовенерология (в части венерологии).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</si>
  <si>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Психиатрия. Дневной стационар.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</si>
  <si>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 Психиатрия-наркология (в части наркологии). Дневной стационар.</t>
  </si>
  <si>
    <t>003 0901 1620313470 611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</si>
  <si>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Скорая, в том числе скорая специализированная, медицинская помощь (за исключением санитарно-авиационной эвакуации). Вне медицинской организации.</t>
  </si>
  <si>
    <t>Число пациентов</t>
  </si>
  <si>
    <t>003 0904 1620713477 611</t>
  </si>
  <si>
    <t xml:space="preserve"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ситуациях. Санитарно-авиационная эвакуация. Вне медицинской организации. </t>
  </si>
  <si>
    <t>Количество вызовов</t>
  </si>
  <si>
    <t>количество полетных часов</t>
  </si>
  <si>
    <t>003 0904 1620713469 111</t>
  </si>
  <si>
    <t>003 0904 1620713469 119</t>
  </si>
  <si>
    <t>003 0904 1620713469 112</t>
  </si>
  <si>
    <t>003 0904 1620713469 242</t>
  </si>
  <si>
    <t>003 0904 1620713469 244</t>
  </si>
  <si>
    <t>003 0904 1620713469 851</t>
  </si>
  <si>
    <t>003 0904 1620713469 852</t>
  </si>
  <si>
    <t>003 0904 1620713469 853</t>
  </si>
  <si>
    <t>003 0904 162N155540 244</t>
  </si>
  <si>
    <t>003 0904 1620755054 244</t>
  </si>
  <si>
    <t>003 0904 16207Ц5054 244</t>
  </si>
  <si>
    <t>003 0904 1620758330 111</t>
  </si>
  <si>
    <t>003 0904 1620758300 111</t>
  </si>
  <si>
    <t>003 0904 1620758360 111</t>
  </si>
  <si>
    <t>003 0904 1620758330 119</t>
  </si>
  <si>
    <t>003 0904 1620758300 119</t>
  </si>
  <si>
    <t>003 0904 1620758360 119</t>
  </si>
  <si>
    <t>003 0904 8800005800 244</t>
  </si>
  <si>
    <t>003 0904 1620758480 111</t>
  </si>
  <si>
    <t>003 0904 1620758480 119</t>
  </si>
  <si>
    <t>003 0904 8800005802 111</t>
  </si>
  <si>
    <t>003 0904 8800005802 119</t>
  </si>
  <si>
    <t>003 0904 1620713470 611</t>
  </si>
  <si>
    <t>003 0904 1620713470 621</t>
  </si>
  <si>
    <t xml:space="preserve">Паллиативная медицинская помощь. Стационар. </t>
  </si>
  <si>
    <t>Количество койко-дней</t>
  </si>
  <si>
    <t>003 0901 1640331470 611</t>
  </si>
  <si>
    <t>003 0901 1621313470 611</t>
  </si>
  <si>
    <t xml:space="preserve">Реализация дополнительных профессиональных программ повышения квалификации. Очная. </t>
  </si>
  <si>
    <t>003 0704 1660413427 611</t>
  </si>
  <si>
    <t>Реализация образовательных программ среднего профессионального образования - программ подготовки специалистов среднего звена. 34.02.02 Медицинский массаж (для обучения лиц с ограниченными возможностями здоровья по зрению). Очная с применением сетевой формы реализации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</si>
  <si>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31.02.02 Акушерское дело. Очная с применением сетевой формы реализации, дистанционных образовательных технологий и электронного обучения.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</si>
  <si>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звена. 31.02.03 Лабораторная диагностика. Очная. </t>
  </si>
  <si>
    <t xml:space="preserve"> 003 0704 1660413427 611</t>
  </si>
  <si>
    <t>Реализация образовательных программ среднего профессионального образования - программ подготовки специалистов среднего звена. 34.02.01 Сестринское дело.  Очно-заочная с применением дистанционных образовательных технологий и электронного обучения.</t>
  </si>
  <si>
    <t>Реализация образовательных программ среднего профессионального образования - программ подготовки специалистов среднего звена. 32.02.01 Медико-профилактическое дело. Очная с применением дистанционных образовательных технологий и электронного обучения.</t>
  </si>
  <si>
    <t xml:space="preserve">Реализация образовательных программ среднего профессионального образования-программ подготовки специалистов среднего звена. 34.00.00 Сестринское дело. Очная с применением дистанционных образовательных технологий и электронного обучения. </t>
  </si>
  <si>
    <t>003 0704 1660413427 621</t>
  </si>
  <si>
    <t>Реализация образовательных программ среднего профессионального образования - программ подготовки специалистов среднего звена. 31.02.01 Лечебное дело. Очная с применением электронного обучения.</t>
  </si>
  <si>
    <t xml:space="preserve">Осуществление издательской деятельности. Газеты. Печатная. </t>
  </si>
  <si>
    <t>Количество экземпляров изданий</t>
  </si>
  <si>
    <t>003 0909 1680513469 611</t>
  </si>
  <si>
    <t xml:space="preserve">Осуществление издательской деятельности. Журналы. Печатная. </t>
  </si>
  <si>
    <t xml:space="preserve">Ведение информационных ресурсов и баз данных. </t>
  </si>
  <si>
    <t>Количество программно-технических средств</t>
  </si>
  <si>
    <t>Работы по профилактике неинфекционных заболеваний, формированию здорового образа жизни и санитарно-гигиеническому просвещению населения</t>
  </si>
  <si>
    <t>Количество выполненных работ</t>
  </si>
  <si>
    <t>003 0909 1610113469 611</t>
  </si>
  <si>
    <t>Судебно-медицинская экспертиза</t>
  </si>
  <si>
    <t>Количество исследований</t>
  </si>
  <si>
    <t>003 0909 1620913469 611</t>
  </si>
  <si>
    <t>33.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</si>
  <si>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</si>
  <si>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освидетельствований</t>
  </si>
  <si>
    <t xml:space="preserve">003 0901 1620313470 611 </t>
  </si>
  <si>
    <t>34.</t>
  </si>
  <si>
    <t>Санаторно-курортное лечение. Стационар</t>
  </si>
  <si>
    <t>003 0905 1620113473 111</t>
  </si>
  <si>
    <t>003 0905 1620113473 112</t>
  </si>
  <si>
    <t>003 0905 1620113473 119</t>
  </si>
  <si>
    <t>003 0905 1620113473 242</t>
  </si>
  <si>
    <t>003 0905 1620113473 244</t>
  </si>
  <si>
    <t>003 0905 1620113473 851</t>
  </si>
  <si>
    <t>003 0905 1620113473 852</t>
  </si>
  <si>
    <t>003 0905 8800005800 244</t>
  </si>
  <si>
    <t>003 0905 168N751140 242</t>
  </si>
  <si>
    <t>35.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</si>
  <si>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 (стационар)</t>
  </si>
  <si>
    <t>003 0909 1640413486 111</t>
  </si>
  <si>
    <t>003 0909 1640413486 112</t>
  </si>
  <si>
    <t>003 0909 1640413486 119</t>
  </si>
  <si>
    <t>003 0909 1640413486 242</t>
  </si>
  <si>
    <t>003 0909 1640413486 243</t>
  </si>
  <si>
    <t>003 0909 1640413486 244</t>
  </si>
  <si>
    <t>003 0909 1640413486 851</t>
  </si>
  <si>
    <t>003 0909 1640413486 852</t>
  </si>
  <si>
    <t>003 0909 1640413486 853</t>
  </si>
  <si>
    <t>003 0909 8800005800 244</t>
  </si>
  <si>
    <t>Судебно-психиатрическая экспертиза</t>
  </si>
  <si>
    <t>Заготовка, хранение, транспортировка и обеспечение безопасности донорской крови и ее компонентов</t>
  </si>
  <si>
    <t>Условная единица продукта, переработки (в перерасчете на 1 литр цельной крови)</t>
  </si>
  <si>
    <t>условная единица</t>
  </si>
  <si>
    <t>003 0906 1621113472 111</t>
  </si>
  <si>
    <t>003 0906 1621113472 112</t>
  </si>
  <si>
    <t>003 0906 1621113472 119</t>
  </si>
  <si>
    <t>003 0906 1621113472 242</t>
  </si>
  <si>
    <t>003 0906 1621113472 244</t>
  </si>
  <si>
    <t>003 0906 1621113472 321</t>
  </si>
  <si>
    <t>003 0906 1621113472 851</t>
  </si>
  <si>
    <t>003 0906 1621113472 852</t>
  </si>
  <si>
    <t>003 0906 1621113472 853</t>
  </si>
  <si>
    <t>Патологическая анатомия</t>
  </si>
  <si>
    <t>Количество исследовани</t>
  </si>
  <si>
    <t>Количество вскрытий</t>
  </si>
  <si>
    <t>003 0902 1610413471 621</t>
  </si>
  <si>
    <t>Административное обеспечение деятельности организации. Сбор и обработка статистической информации. Здравоохранение.</t>
  </si>
  <si>
    <t xml:space="preserve">Количество отчетов, составленных по результатам работы </t>
  </si>
  <si>
    <t>ИТОГО субсидий на оказание государственных услуг (выполнение работ)</t>
  </si>
  <si>
    <t>Министерство здравоохранения Забайкальского края</t>
  </si>
  <si>
    <t>Реестровый номер или код базовой услуги из регионального или общероссийского перечня государственных услуг (работ) 08.200.0 
860000О.99.0.АД57АА46002</t>
  </si>
  <si>
    <t>Код (коды) бюджетной
классификации:</t>
  </si>
  <si>
    <t>Реестровый номер или код базовой услуги из регионального или общероссийского перечня государственных услуг (работ) 
  08.200.0 
860000О.99.0.АД57АА43003</t>
  </si>
  <si>
    <t xml:space="preserve">Код (коды) бюджетной
классификации: </t>
  </si>
  <si>
    <t>Код (коды) бюджетной
классификации
003 0909 1680513469 611</t>
  </si>
  <si>
    <t>Реестровый номер или код базовой услуги из регионального или общероссийского перечня государственных услуг (работ)
08.200.0 
860000О.99.0.АД57АА34003</t>
  </si>
  <si>
    <t>Реестровый номер или код базовой услуги из регионального или общероссийского перечня государственных услуг (работ) 08.200.0 
860000О.99.0.АД57АА49002</t>
  </si>
  <si>
    <t>Реестровый номер или код базовой услуги из регионального или общероссийского перечня государственных услуг (работ) 08.200.0 
860000О.99.0.АД57АА17003</t>
  </si>
  <si>
    <t>Реестровый номер или код базовой услуги из регионального или общероссийского перечня государственных услуг (работ):  08.200.0 
860000О.99.0.АД57АА14003</t>
  </si>
  <si>
    <t>Реестровый номер или код базовой услуги из регионального или общероссийского перечня государственных услуг (работ)  08.200.0 
860000О.99.0.АД57АА26004</t>
  </si>
  <si>
    <t>Реестровый номер или код базовой услуги из регионального или общероссийского перечня государственных услуг (работ):  08.202.0 
860000О.99.0.АД59АА06001</t>
  </si>
  <si>
    <t>Реестровый номер или код базовой услуги из регионального или общероссийского перечня государственных услуг (работ):  08.202.0 
860000О.99.0.АД59АА00001</t>
  </si>
  <si>
    <t>Реестровый номер или код базовой услуги из регионального или общероссийского перечня государственных услуг (работ):  08.202.0 
860000О.99.0.АД59АА04001</t>
  </si>
  <si>
    <t>Реестровый номер или код базовой услуги из регионального или общероссийского перечня государственных услуг (работ):  08.202.0 
860000О.99.0.АД59АА02001</t>
  </si>
  <si>
    <t>Реестровый номер или код базовой услуги из регионального или общероссийского перечня государственных услуг (работ):  08.202.0 
860000О.99.0.АД59АА05002</t>
  </si>
  <si>
    <t>Реестровый номер или код базовой услуги из регионального или общероссийского перечня государственных услуг (работ):  08.202.0 
860000О.99.0.АД59АА07002</t>
  </si>
  <si>
    <t>Реестровый номер или код базовой услуги из регионального или общероссийского перечня государственных услуг (работ):  08.202.0 
860000О.99.0.АД59АА01002</t>
  </si>
  <si>
    <t>Реестровый номер или код базовой услуги из регионального или общероссийского перечня государственных услуг (работ):  08.202.0 
860000О.99.0.АД59АА03002</t>
  </si>
  <si>
    <t>Реестровый номер или код базовой услуги из регионального или общероссийского перечня государственных услуг (работ):  08.204.0
860000О.99.0.АД61АА02001</t>
  </si>
  <si>
    <t>Реестровый номер или код базовой услуги из регионального или общероссийского перечня государственных услуг (работ):  08.204.0
860000О.99.0.АД61АА05001</t>
  </si>
  <si>
    <t>Реестровый номер или код базовой услуги из регионального или общероссийского перечня государственных услуг (работ):  08.209.0
860000О.99.0.АД66АА00002</t>
  </si>
  <si>
    <t>Реестровый номер или код базовой услуги из регионального или общероссийского перечня государственных услуг (работ): 11.Г48.0
804200О.99.0.ББ60АА72001</t>
  </si>
  <si>
    <t>Реестровый номер или код базовой услуги из регионального или общероссийского перечня государственных услуг (работ): 11.Д56.0
852101О.99.0.ББ28ПИ61000</t>
  </si>
  <si>
    <t>Реестровый номер или код базовой услуги из регионального или общероссийского перечня государственных услуг (работ): 11.Д56.0
852101О.99.0.ББ28ОО58000</t>
  </si>
  <si>
    <t>Реестровый номер или код базовой услуги из регионального или общероссийского перечня государственных услуг (работ): 11.Д56.0
852101О.99.0.ББ28ОР68000</t>
  </si>
  <si>
    <t>Реестровый номер или код базовой услуги из регионального или общероссийского перечня государственных услуг (работ): 11.Д56.0
852101О.99.0.ББ28ПЗ51000</t>
  </si>
  <si>
    <t>Реестровый номер или код базовой услуги из регионального или общероссийского перечня государственных услуг (работ): 11.Д56.0
852101О.99.0.ББ28ОЭ11000</t>
  </si>
  <si>
    <t>Реестровый номер или код базовой услуги из регионального или общероссийского перечня государственных услуг (работ): 11.Д60.0
852101О.99.0.ББ28ПГ52000</t>
  </si>
  <si>
    <t>Реестровый номер или код базовой услуги из регионального или общероссийского перечня государственных услуг (работ): 11.Д56.0
852101О.99.0.ББ28ОЛ19000</t>
  </si>
  <si>
    <t>Реестровый номер или код базовой услуги из регионального или общероссийского перечня государственных услуг (работ): 09.074.1
I.8.7.</t>
  </si>
  <si>
    <t>Реестровый номер или код базовой услуги из регионального или общероссийского перечня государственных услуг (работ): 09.074.1
I.8.10.</t>
  </si>
  <si>
    <t>Реестровый номер или код базовой услуги из регионального или общероссийского перечня государственных услуг (работ): 09.011.1
I.8.4.</t>
  </si>
  <si>
    <t>Реестровый номер или код базовой услуги из регионального или общероссийского перечня государственных услуг (работ): 09.019.1
I.8.16.</t>
  </si>
  <si>
    <t>Реестровый номер или код базовой услуги из регионального или общероссийского перечня государственных услуг (работ):  08.328.1
I.3.4.</t>
  </si>
  <si>
    <t>Реестровый номер или код базовой услуги из регионального или общероссийского перечня государственных услуг (работ):  08.300.1
I.3.6.</t>
  </si>
  <si>
    <t>Реестровый номер или код базовой услуги из регионального или общероссийского перечня государственных услуг (работ):  08.340.1
I.3.2.</t>
  </si>
  <si>
    <t>Реестровый номер или код базовой услуги из регионального или общероссийского перечня государственных услуг (работ): 08.213.0 860000О.99.0.АД70АА13000</t>
  </si>
  <si>
    <t>Реестровый номер или код базовой услуги из регионального или общероссийского перечня государственных услуг (работ): 08.228.0 860000О.99.0.АД85АА00000</t>
  </si>
  <si>
    <t>Реестровый номер или код базовой услуги из регионального или общероссийского перечня государственных услуг (работ): I.3.7.</t>
  </si>
  <si>
    <t>Реестровый номер или код базовой услуги из регионального или общероссийского перечня государственных услуг (работ): I.3.1.</t>
  </si>
  <si>
    <t>Реестровый номер или код базовой услуги из регионального или общероссийского перечня государственных услуг (работ):  08.339.1
I.3.3.</t>
  </si>
  <si>
    <t xml:space="preserve">Реестровый номер или код базовой услуги из регионального или общероссийского перечня государственных услуг (работ):  14.003.0
</t>
  </si>
  <si>
    <t xml:space="preserve">тыс.руб.
</t>
  </si>
  <si>
    <t>Первичная медико-санитарная помощь</t>
  </si>
  <si>
    <t>Организация и обеспечение координации деятельности физкультурно-спортивных организаций по подготовке спортивного резерва</t>
  </si>
  <si>
    <t>Количество физкультурно-спортивных организаций</t>
  </si>
  <si>
    <t>Организация и обеспечение подготовки спортивного резерва</t>
  </si>
  <si>
    <t>Количество человек</t>
  </si>
  <si>
    <t>Оказание медицинской помощи при проведении официальных физкультурных, спортивных и массовых спортивно-зрелищных мероприятий</t>
  </si>
  <si>
    <t>170</t>
  </si>
  <si>
    <t>75</t>
  </si>
  <si>
    <t>70</t>
  </si>
  <si>
    <t>0</t>
  </si>
  <si>
    <t>106</t>
  </si>
  <si>
    <t>125</t>
  </si>
  <si>
    <t>72</t>
  </si>
  <si>
    <t>73</t>
  </si>
  <si>
    <t>69</t>
  </si>
  <si>
    <t>300</t>
  </si>
  <si>
    <t>297</t>
  </si>
  <si>
    <t>250</t>
  </si>
  <si>
    <t>217</t>
  </si>
  <si>
    <t>112</t>
  </si>
  <si>
    <t>120</t>
  </si>
  <si>
    <t>Организация спортивной подготовки на спортивно-оздоровительном этапе</t>
  </si>
  <si>
    <t>Количество привлеченных лиц</t>
  </si>
  <si>
    <t>Организация развития национальных видов спорта</t>
  </si>
  <si>
    <t>Комплект бухгалтерской (финансовой) отчетности государственных учреждений, органов государственной власти, государственных органов Забайкальского края</t>
  </si>
  <si>
    <t>10/2786</t>
  </si>
  <si>
    <t>Министерство физической культуры и спорта Забайкальского края</t>
  </si>
  <si>
    <t>Код (коды) бюджетной
классификации 
011 1103 1820113482 611</t>
  </si>
  <si>
    <t>Код (коды) бюджетной
классификации 
011 0704 1820113427 611</t>
  </si>
  <si>
    <t>Код (коды) бюджетной
классификации 
011 1103 1820113482 621</t>
  </si>
  <si>
    <t>Министерство природных ресурсов Забайкальского края</t>
  </si>
  <si>
    <t>Министерство образования  и науки Забайкальского края</t>
  </si>
  <si>
    <t>Администрация Губернатора Забайкальского края</t>
  </si>
  <si>
    <t>Количество участников мероприятий</t>
  </si>
  <si>
    <t>Органзация досуга детей подростков и молодежи</t>
  </si>
  <si>
    <t>Пропаганда физической культуры, спорта и здорового образа жизни</t>
  </si>
  <si>
    <t>объем тиража</t>
  </si>
  <si>
    <t>количество комплектов документов</t>
  </si>
  <si>
    <t>объем печатной продукции</t>
  </si>
  <si>
    <t xml:space="preserve">количество номеров </t>
  </si>
  <si>
    <t>количество полос формата А2</t>
  </si>
  <si>
    <t>Размещение информации</t>
  </si>
  <si>
    <t>лист.</t>
  </si>
  <si>
    <t>кв.см.</t>
  </si>
  <si>
    <t>ед. в год</t>
  </si>
  <si>
    <t>Непрограммная деятельность</t>
  </si>
  <si>
    <t>3,20/183,00</t>
  </si>
  <si>
    <t>0,00</t>
  </si>
  <si>
    <t>Код (коды) бюджетной
классификации:
309011620213470000</t>
  </si>
  <si>
    <t>Х</t>
  </si>
  <si>
    <t>Код (коды) бюджетной
классификации:
 017 0412 1020214093 611</t>
  </si>
  <si>
    <t>Код (коды) бюджетной
классификации:
017 0412 1020214093 611</t>
  </si>
  <si>
    <t>Код (коды) бюджетной
классификации: 
017 0412 1020214093 611</t>
  </si>
  <si>
    <t xml:space="preserve">План первоначальный 
(№ 1778-ЗЗК от 19.12.2019 г.) </t>
  </si>
  <si>
    <t>План уточненный  
(№  1897-ЗЗК от 30.12.2020 г.)</t>
  </si>
  <si>
    <t>Код (коды) бюджетной
классификации: 
017 0801 1511012445 621</t>
  </si>
  <si>
    <t>Код (коды) бюджетной
классификации:
017 0801 1511012445 621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</si>
  <si>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</si>
  <si>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</si>
  <si>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</si>
  <si>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</si>
  <si>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</si>
  <si>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</si>
  <si>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</si>
  <si>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</si>
  <si>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</si>
  <si>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</si>
  <si>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</si>
  <si>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</si>
  <si>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</si>
  <si>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</si>
  <si>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</si>
  <si>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</si>
  <si>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</si>
  <si>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</si>
  <si>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</si>
  <si>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</si>
  <si>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</si>
  <si>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</si>
  <si>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</si>
  <si>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</si>
  <si>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</si>
  <si>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</si>
  <si>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</si>
  <si>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Управление государственной собственностью Забайкальского края</t>
  </si>
  <si>
    <t>Развитие культуры в Забайкальском крае</t>
  </si>
  <si>
    <t>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</si>
  <si>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</si>
  <si>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</si>
  <si>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</si>
  <si>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</si>
  <si>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</si>
  <si>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</si>
  <si>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</si>
  <si>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</si>
  <si>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Итого по государственной программе "Управление государственной собственностью Забайкальского края"</t>
  </si>
  <si>
    <t>Итого по государственной программе "Развитие культуры в Забайкальском крае"</t>
  </si>
  <si>
    <t>Итого по государственной программе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</si>
  <si>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3.1.1</t>
  </si>
  <si>
    <t>Итого по государственной программе "Экономическое развитие"</t>
  </si>
  <si>
    <t>Развитие информационного общества и формирование электронного правительства в Забайкальском крае</t>
  </si>
  <si>
    <t xml:space="preserve">Код (коды) бюджетной
классификации: 
012 0309 0210319309 611  </t>
  </si>
  <si>
    <t xml:space="preserve"> Код (коды) бюджетной
классификации: 
012 0309 0230219303 611</t>
  </si>
  <si>
    <t>Код (коды) бюджетной
классификации: 
012 0309 0230119303 611</t>
  </si>
  <si>
    <t>Код (коды) бюджетной
классификации: 
012 0309 0230319303 611</t>
  </si>
  <si>
    <t>Код (коды) бюджетной
классификации: 
012 0309 0230419303 611</t>
  </si>
  <si>
    <t>Код (коды) бюджетной
классификации: 
012 0309 0220119247 611</t>
  </si>
  <si>
    <t>Код (коды) бюджетной
классификации:
 012 0309 0240119302 611</t>
  </si>
  <si>
    <t>Код (коды) бюджетной
классификации:
012 0310 0250119310 611</t>
  </si>
  <si>
    <t>Код (коды) бюджетной
классификации: 
025 0113 0340119905 621</t>
  </si>
  <si>
    <t>Код (коды) бюджетной
классификации: 
099 0410 0650114092 611</t>
  </si>
  <si>
    <t>4.1.1</t>
  </si>
  <si>
    <t>4.1.2</t>
  </si>
  <si>
    <t>4.1.3</t>
  </si>
  <si>
    <t>Код (коды) бюджетной
классификации 
099 0410 06500114092 611</t>
  </si>
  <si>
    <t>Итого по государственной программе "Развитие информационного общества и формирование электронного правительства в Забайкальском крае"</t>
  </si>
  <si>
    <t>Код (коды) бюджетной
классификации: 
099 0410 06500114092 611</t>
  </si>
  <si>
    <t>Код (коды) бюджетной
классификации: 
009 1002 1720312501 611</t>
  </si>
  <si>
    <t>009 1002 1720312501 621</t>
  </si>
  <si>
    <t>009 1002 1730112502 611</t>
  </si>
  <si>
    <t>009 1002 1720312508 611</t>
  </si>
  <si>
    <t>009 1002 1730112509 621</t>
  </si>
  <si>
    <t>009 1002 1720312508 621</t>
  </si>
  <si>
    <t>009 1002 8800000704 611</t>
  </si>
  <si>
    <t>5.1.1</t>
  </si>
  <si>
    <t>5.1.2</t>
  </si>
  <si>
    <t>009 1002 8800000704 621</t>
  </si>
  <si>
    <t>Код (коды) бюджетной
классификации: 
009 1004 1730112509 611</t>
  </si>
  <si>
    <t>009 1004 1730112509 621</t>
  </si>
  <si>
    <t>5.1.3</t>
  </si>
  <si>
    <t>5.1.4</t>
  </si>
  <si>
    <t>Код (коды) бюджетной
классификации:
009 1002 1720312508 611</t>
  </si>
  <si>
    <t>Код (коды) бюджетной
классификации: 
009 1002 1730112509 611</t>
  </si>
  <si>
    <t>5.1.5</t>
  </si>
  <si>
    <t>Код (коды) бюджетной
классификации: 
009 1002 1720312508 611</t>
  </si>
  <si>
    <t>5.1.6</t>
  </si>
  <si>
    <t>5.1.7</t>
  </si>
  <si>
    <t>5.1.8</t>
  </si>
  <si>
    <t>Итого по государственной программе "Социальная поддержка граждан" и непрограммной деятельности</t>
  </si>
  <si>
    <t>6.1.1</t>
  </si>
  <si>
    <t>Код (коды) бюджетной
классификации: 
079 0801 3120219440 611</t>
  </si>
  <si>
    <t>Сохранение, использование, популяризация и государственная охрана объектов культурного наследия</t>
  </si>
  <si>
    <t>Итого по государственной программе"Сохранение, использование, популяризация и государственная охрана объектов культурного наследия"</t>
  </si>
  <si>
    <t>ИТОГО субсидий на оказание государственных услуг
(выполнение работ) по Министерству труда и социальной защиты населения Забайкальского края</t>
  </si>
  <si>
    <t>ИТОГО субсидий на оказание государственных услуг
(выполнение работ) по Департаменту государственного имущества и земельных отношений Забайкальского края</t>
  </si>
  <si>
    <t>ИТОГО субсидий на оказание государственных услуг
(выполнение работ) по Департаменту по гражданской обороне и пожарной безопасности Забайкальского края</t>
  </si>
  <si>
    <t>ИТОГО субсидий на оказание государственных услуг
(выполнение работ) по Министерству жилищно-коммунального хозяйства, энергетики, цифровизации и связи Забайкальского края</t>
  </si>
  <si>
    <t>ИТОГО субсидий на оказание государственных услуг
(выполнение работ)по Государственной службе по охране объектов культурного наследия Забайкальского края</t>
  </si>
  <si>
    <t>Развития сельского хозяйства и регулирования рынков сельскохозяйственной продукции, сырья и продовольствия</t>
  </si>
  <si>
    <t>Итого по государственной программе "Развития сельского хозяйства и регулирования рынков сельскохозяйственной продукции, сырья и продовольствия"</t>
  </si>
  <si>
    <t>ИТОГО субсидий на оказание государственных услуг
(выполнение работ) по Министерству сельского хозяйства Забайкальского края</t>
  </si>
  <si>
    <t>7.1.1</t>
  </si>
  <si>
    <t>7.1.2</t>
  </si>
  <si>
    <t>7.1.3</t>
  </si>
  <si>
    <t>7.1.4</t>
  </si>
  <si>
    <t>Код (коды) бюджетной
классификации: 
066 0603 05Д0117411 611</t>
  </si>
  <si>
    <t>Код (коды) бюджетной
классификации:
066 0405 05Д0117263 611</t>
  </si>
  <si>
    <t>Итого по государственной программе  "Развитие культуры в Забайкальском крае"</t>
  </si>
  <si>
    <t>Код (коды) бюджетной
классификации:
004 0801 1510212442 611</t>
  </si>
  <si>
    <t>Код (коды) бюджетной
классификации: 
004 0801 1520212444 611</t>
  </si>
  <si>
    <t>Код (коды) бюджетной
классификации: 
004 0801 1510212442 611</t>
  </si>
  <si>
    <t>Код (коды) бюджетной 
классификации: 
004 0801 1510212442 611</t>
  </si>
  <si>
    <t>8.1.1</t>
  </si>
  <si>
    <t>8.1.2</t>
  </si>
  <si>
    <t>8.1.3</t>
  </si>
  <si>
    <t>8.1.4</t>
  </si>
  <si>
    <t>8.1.5</t>
  </si>
  <si>
    <t>8.1.6</t>
  </si>
  <si>
    <t xml:space="preserve">Код (коды) бюджетной
классификации: 
004 0801 1510112441 611                                              </t>
  </si>
  <si>
    <t>Код (коды) бюджетной
классификации: 
004 0801 1510312443 621</t>
  </si>
  <si>
    <t>8.1.7</t>
  </si>
  <si>
    <t>8.1.8</t>
  </si>
  <si>
    <t>8.1.9</t>
  </si>
  <si>
    <t>Код (коды) бюджетной
классификации:
004 0801 1520212444 611</t>
  </si>
  <si>
    <t xml:space="preserve">Код (коды) бюджетной              
классификации: 
004 0801 1510312443 611                                                    
</t>
  </si>
  <si>
    <t>Код (коды) бюджетной
классификации: 
004 0802 1510412450 621</t>
  </si>
  <si>
    <t>Код (коды) бюджетной
классификации:                             
004 0801 1510312443 611</t>
  </si>
  <si>
    <t>8.1.10</t>
  </si>
  <si>
    <t>8.1.11</t>
  </si>
  <si>
    <t>8.1.12</t>
  </si>
  <si>
    <t>8.1.13</t>
  </si>
  <si>
    <t xml:space="preserve"> Код (коды) бюджетной
классификации: 
004 0802 1510412450 621</t>
  </si>
  <si>
    <t>Код (коды) бюджетной
классификации:                                               
004 0801 1510112441 611</t>
  </si>
  <si>
    <t>Код (коды) бюджетной
 классификации:                                           
004 0801 1510112441 611</t>
  </si>
  <si>
    <t>8.1.14</t>
  </si>
  <si>
    <t>Код (коды) бюджетной
классификации: 
004 0704 1510512427 611</t>
  </si>
  <si>
    <t>8.1.15</t>
  </si>
  <si>
    <t>8.1.16</t>
  </si>
  <si>
    <t>8.1.17</t>
  </si>
  <si>
    <t xml:space="preserve">   Код (коды) бюджетной
классификации: 
004 0802 1510412450 621</t>
  </si>
  <si>
    <t xml:space="preserve">Код (коды) бюджетной
классификации:     
004 0801 1510312443 611      </t>
  </si>
  <si>
    <t>8.1.18</t>
  </si>
  <si>
    <t>8.1.19</t>
  </si>
  <si>
    <t xml:space="preserve">Код (коды) бюджетной
классификации :     
004 0801 1510312443 611  </t>
  </si>
  <si>
    <t>8.1.20</t>
  </si>
  <si>
    <t>8.1.21</t>
  </si>
  <si>
    <t>8.1.22</t>
  </si>
  <si>
    <t>8.1.23</t>
  </si>
  <si>
    <t>Код (коды) бюджетной
классификации: 
087 0405 05Д0217263 611</t>
  </si>
  <si>
    <t xml:space="preserve"> Развитие культуры в Забайкальском крае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</si>
  <si>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</si>
  <si>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</si>
  <si>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</si>
  <si>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</si>
  <si>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</si>
  <si>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</si>
  <si>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</si>
  <si>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</si>
  <si>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</si>
  <si>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</si>
  <si>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</si>
  <si>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</si>
  <si>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</si>
  <si>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</si>
  <si>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</si>
  <si>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</si>
  <si>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</si>
  <si>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Итого по государственной программе "Развитие сельского хозяйства и регулирование рынков сельскохозяйственной продукции, сырья и продовольствия"</t>
  </si>
  <si>
    <t>Развитие сельского хозяйства и регулирование рынков сельскохозяйственной продукции, сырья и продовольствия</t>
  </si>
  <si>
    <t>Код (коды) бюджетной
классификации:
087 0405 05Д0217263 611</t>
  </si>
  <si>
    <t>Код (коды) бюджетной
классификации: 
087 0405 05Д0217263 611:</t>
  </si>
  <si>
    <t>ИТОГО субсидий на оказание государственных услуг
(выполнение работ) по Государственной ветеринарной службе Забайкальского края</t>
  </si>
  <si>
    <t>Код (коды) бюджетной
классификации: 
046 0407 0910151299 621</t>
  </si>
  <si>
    <t>10.1.1</t>
  </si>
  <si>
    <t>10.1.2</t>
  </si>
  <si>
    <t>10.1.3</t>
  </si>
  <si>
    <t>Код (коды) бюджетной
классификации:
046 0407 0910151299 621</t>
  </si>
  <si>
    <t>Код (коды) бюджетной
классификации
046 0407 0910151299 621</t>
  </si>
  <si>
    <t>Код (коды) бюджетной
классификации
046 0407 0910151299 611</t>
  </si>
  <si>
    <t>Код (коды) бюджетной
классификации:
046 0407 0910151299 611</t>
  </si>
  <si>
    <t>046 0407 0910151299 621</t>
  </si>
  <si>
    <t>046 0407 091015129F 611</t>
  </si>
  <si>
    <t>046 0407 091015129F 621</t>
  </si>
  <si>
    <t xml:space="preserve"> Развитие лесного хозяйства Забайкальского края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</si>
  <si>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</si>
  <si>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</si>
  <si>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</si>
  <si>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</si>
  <si>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</si>
  <si>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</si>
  <si>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</si>
  <si>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</si>
  <si>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</si>
  <si>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</si>
  <si>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</si>
  <si>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</si>
  <si>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</si>
  <si>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</si>
  <si>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10.1.18</t>
  </si>
  <si>
    <t>10.1.19</t>
  </si>
  <si>
    <t>10.1.20</t>
  </si>
  <si>
    <t>10.1.21</t>
  </si>
  <si>
    <t>046 0407 0910119299 621</t>
  </si>
  <si>
    <t>Код (коды) бюджетной
классификации:
046 0407 0910517199 621</t>
  </si>
  <si>
    <t>Код (коды) бюджетной
классификации:
046 0407 0910251299 621</t>
  </si>
  <si>
    <t>Код (коды) бюджетной
классификации:
046 0407 0910351299 621</t>
  </si>
  <si>
    <t>Код (коды) бюджетной
классификации:
046 0407 0910451299 621</t>
  </si>
  <si>
    <t>67,50/17 798</t>
  </si>
  <si>
    <t>59,97/4 669,00</t>
  </si>
  <si>
    <t>196,49/15 474,00</t>
  </si>
  <si>
    <t xml:space="preserve"> 100,00/3 227,0</t>
  </si>
  <si>
    <t xml:space="preserve">  155/5 831,0</t>
  </si>
  <si>
    <t>155/5 831,0</t>
  </si>
  <si>
    <t>Итого по государственной программе "Развитие лесного хозяйства Забайкальского края"</t>
  </si>
  <si>
    <t>Код (коды) бюджетной
классификации
046 0605 0840217337 611</t>
  </si>
  <si>
    <t>Охрана окружающей среды</t>
  </si>
  <si>
    <t>Код (коды) бюджетной
классификации:
046 0605 0840217337 611</t>
  </si>
  <si>
    <t>Код (коды) бюджетной
классификации:
0406 0605 0840217337 611</t>
  </si>
  <si>
    <t>Итого по государственной программе "Охрана окружающей среды"</t>
  </si>
  <si>
    <t>ИТОГО субсидий на оказание государственных услуг
(выполнение работ)по Министерству природных ресурсов Забайкальского края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</si>
  <si>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</si>
  <si>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</si>
  <si>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</si>
  <si>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</si>
  <si>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</si>
  <si>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</si>
  <si>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</si>
  <si>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</si>
  <si>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</si>
  <si>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</si>
  <si>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</si>
  <si>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</si>
  <si>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</si>
  <si>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10.2.14</t>
  </si>
  <si>
    <t>10.2.15</t>
  </si>
  <si>
    <t>10.2.16</t>
  </si>
  <si>
    <t>10.2.17</t>
  </si>
  <si>
    <t>10.2.18</t>
  </si>
  <si>
    <t>10.2.19</t>
  </si>
  <si>
    <t>10.2.20</t>
  </si>
  <si>
    <t>10.2.21</t>
  </si>
  <si>
    <t>10.2.22</t>
  </si>
  <si>
    <t>10.2.23</t>
  </si>
  <si>
    <t>10.2.24</t>
  </si>
  <si>
    <t>10.2.25</t>
  </si>
  <si>
    <t>10.2.26</t>
  </si>
  <si>
    <t>10.2.27</t>
  </si>
  <si>
    <t>10.2.28</t>
  </si>
  <si>
    <t>10.2.29</t>
  </si>
  <si>
    <t>10.2.30</t>
  </si>
  <si>
    <t>10.2.31</t>
  </si>
  <si>
    <t>10.2.32</t>
  </si>
  <si>
    <t>10.2.33</t>
  </si>
  <si>
    <t>10.2.34</t>
  </si>
  <si>
    <t>10.2.35</t>
  </si>
  <si>
    <t>10.2.36</t>
  </si>
  <si>
    <t>10.2.37</t>
  </si>
  <si>
    <t>Код (коды) бюджетной
классификации
026 0704 1440111427 611</t>
  </si>
  <si>
    <t>Код (коды) бюджетной
классификации:
026 0704 1440111427 611</t>
  </si>
  <si>
    <t>11.1.1</t>
  </si>
  <si>
    <t>11.1.2</t>
  </si>
  <si>
    <t>11.1.3</t>
  </si>
  <si>
    <t xml:space="preserve">Развитие образования Забайкальского края на 2014–2025 годы
</t>
  </si>
  <si>
    <t>Код (коды) бюджетной
классификации:
026-0704-1440111427-611</t>
  </si>
  <si>
    <t>Код (коды) бюджетной
классификации:
026 0704 1440111427 621</t>
  </si>
  <si>
    <t>Код (коды) бюджетной
классификации
026 0704 1440111427 621</t>
  </si>
  <si>
    <t>Код (коды) бюджетной
классификации
 026 0704 1440111427 611</t>
  </si>
  <si>
    <t>Код (коды) бюджетной
классификации
 026 0704 1440111427 621</t>
  </si>
  <si>
    <t xml:space="preserve"> Код (коды) бюджетной
классификации:
026 0704 1440111427 611</t>
  </si>
  <si>
    <t>Код (коды) бюджетной
классификации:
026 0702 1420111422 611</t>
  </si>
  <si>
    <t>Численность обучающихся
(начальное общее образование)</t>
  </si>
  <si>
    <t>Численность обучающихся
(основное общее образование)</t>
  </si>
  <si>
    <t>Код (коды) бюджетной
классификации
026 0702 1420111422 611</t>
  </si>
  <si>
    <t>Численность обучающихся
(среднее общее образование)</t>
  </si>
  <si>
    <t>показатель</t>
  </si>
  <si>
    <t>Численность обучающихся
(очная)</t>
  </si>
  <si>
    <t>Код (коды) бюджетной
классификации:
026 0709 1480111445 611</t>
  </si>
  <si>
    <t>Психолого-медико-педагогическое обследование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</si>
  <si>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</si>
  <si>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 xml:space="preserve">Реализация дополнительных общеразвивающих программ </t>
  </si>
  <si>
    <t>Код (коды) бюджетной
классификации
026 0709 1480111445 611</t>
  </si>
  <si>
    <t>Число обучающихся
(основное общее образование)</t>
  </si>
  <si>
    <t>Число обучающихся
(среднее общее образование)</t>
  </si>
  <si>
    <t>Код (коды) бюджетной
классификации
026 0703 1430111423 611</t>
  </si>
  <si>
    <t xml:space="preserve">Реализация дополнительных предпрофессиональных программ в области физической культуры и спорта </t>
  </si>
  <si>
    <t>Код (коды) бюджетной
классификации:
026 0703 1430111423 611</t>
  </si>
  <si>
    <t>Код (коды) бюджетной
классификации:
026 0703 143011142 611</t>
  </si>
  <si>
    <t xml:space="preserve">Реализация дополнительных общеразвивающих программы </t>
  </si>
  <si>
    <t>Код (коды) бюджетной
классификации:
026 0703 1430111423-611</t>
  </si>
  <si>
    <t>Код (коды) бюджетной
классификации:
026 0705 1470111429 611</t>
  </si>
  <si>
    <t>Реализация дополнительных профессиональных программ повышения квалификации</t>
  </si>
  <si>
    <t>Количество человеко-часов
(очная)</t>
  </si>
  <si>
    <t>Код (коды) бюджетной
классификации
026 0705 1470111429 611</t>
  </si>
  <si>
    <t>Количество экземпляров
(журналы)</t>
  </si>
  <si>
    <t>Количество государственных услуг, предъявляемых в электронном виде</t>
  </si>
  <si>
    <t>Код (коды) бюджетной
классификации:
026 0705 1470111429 621</t>
  </si>
  <si>
    <t>Код (коды) бюджетной
классификации:
026 0707 1460111435 621</t>
  </si>
  <si>
    <t xml:space="preserve">Количество человеко-часов
(художественный, "Искровская школа вожатых") </t>
  </si>
  <si>
    <t>Количество человеко-часов
(cоциально-педагогической, "Искровский клуб гитарной песни")</t>
  </si>
  <si>
    <t>Количество человеко-часов
(cоциально-педагогической, "Региональная искровская ассоциация школьников")</t>
  </si>
  <si>
    <t>Число обучающихся
(Курсы повышения квалификации для специалистов по работе с молодежью)</t>
  </si>
  <si>
    <t xml:space="preserve">Организация мероприятий в сфере молодежной политики, направленных на гражданское и 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 </t>
  </si>
  <si>
    <t xml:space="preserve">Организация и проведение общественно значимых мероприятий в сфере образования, науки и молодежной политики </t>
  </si>
  <si>
    <t>Код (коды) бюджетной
классификации:
026 0709 1450311452 611</t>
  </si>
  <si>
    <t>Информационно-технологическое обеспечение управления системой образования</t>
  </si>
  <si>
    <t>Реализация адаптированных основных общеобразовательных программ для детей с умственной отсталостью</t>
  </si>
  <si>
    <t>Код (коды) бюджетной
классификации:
026 0702 1420111433 611</t>
  </si>
  <si>
    <t>Код (коды) бюджетной
классификации
026 0702 1420111433 611</t>
  </si>
  <si>
    <t>Число обучающихся
(начальное общее образование)</t>
  </si>
  <si>
    <t>Число обучающихся
(дошкольное образование)</t>
  </si>
  <si>
    <t>Код (коды) бюджетной
классификации:
026 0709 1490111455 611</t>
  </si>
  <si>
    <t>Количество отчетов
(электронные носители информации)</t>
  </si>
  <si>
    <t>Количество отчетов
(бумажные носители информации)</t>
  </si>
  <si>
    <t>Количество объектов учета
(электронные носители информации)</t>
  </si>
  <si>
    <t>Количество объектов учета
(бумажные носители информации)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</si>
  <si>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</si>
  <si>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</si>
  <si>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</si>
  <si>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</si>
  <si>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</si>
  <si>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</si>
  <si>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</si>
  <si>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</si>
  <si>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</si>
  <si>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</si>
  <si>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</si>
  <si>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</si>
  <si>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</si>
  <si>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</si>
  <si>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</si>
  <si>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</si>
  <si>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</si>
  <si>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</si>
  <si>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</si>
  <si>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11.1.23</t>
  </si>
  <si>
    <t>11.1.24</t>
  </si>
  <si>
    <t>11.1.25</t>
  </si>
  <si>
    <t>11.1.26</t>
  </si>
  <si>
    <t>11.1.27</t>
  </si>
  <si>
    <t>11.1.28</t>
  </si>
  <si>
    <t>11.1.29</t>
  </si>
  <si>
    <t>11.1.30</t>
  </si>
  <si>
    <t>11.1.31</t>
  </si>
  <si>
    <t>11.1.32</t>
  </si>
  <si>
    <t>11.1.33</t>
  </si>
  <si>
    <t>11.1.34</t>
  </si>
  <si>
    <t>11.1.35</t>
  </si>
  <si>
    <t>11.1.36</t>
  </si>
  <si>
    <t>11.1.37</t>
  </si>
  <si>
    <t>11.1.38</t>
  </si>
  <si>
    <t>11.1.39</t>
  </si>
  <si>
    <t>11.1.40</t>
  </si>
  <si>
    <t>11.1.41</t>
  </si>
  <si>
    <t>11.1.42</t>
  </si>
  <si>
    <t>11.1.43</t>
  </si>
  <si>
    <t>11.1.44</t>
  </si>
  <si>
    <t>11.1.45</t>
  </si>
  <si>
    <t>11.1.46</t>
  </si>
  <si>
    <t>11.1.47</t>
  </si>
  <si>
    <t>11.1.48</t>
  </si>
  <si>
    <t>11.1.49</t>
  </si>
  <si>
    <t>11.1.50</t>
  </si>
  <si>
    <t>11.1.51</t>
  </si>
  <si>
    <t>11.1.52</t>
  </si>
  <si>
    <t>11.1.53</t>
  </si>
  <si>
    <t>11.1.54</t>
  </si>
  <si>
    <t>11.1.55</t>
  </si>
  <si>
    <t>11.1.56</t>
  </si>
  <si>
    <t>11.1.57</t>
  </si>
  <si>
    <t>11.1.58</t>
  </si>
  <si>
    <t>11.1.59</t>
  </si>
  <si>
    <t>11.1.60</t>
  </si>
  <si>
    <t>11.1.61</t>
  </si>
  <si>
    <t>11.1.62</t>
  </si>
  <si>
    <t>11.1.63</t>
  </si>
  <si>
    <t>11.1.64</t>
  </si>
  <si>
    <t>11.1.65</t>
  </si>
  <si>
    <t>11.1.66</t>
  </si>
  <si>
    <t>11.1.67</t>
  </si>
  <si>
    <t>11.1.68</t>
  </si>
  <si>
    <t>11.1.69</t>
  </si>
  <si>
    <t>11.1.70</t>
  </si>
  <si>
    <t>11.1.71</t>
  </si>
  <si>
    <t>11.1.72</t>
  </si>
  <si>
    <t>11.1.73</t>
  </si>
  <si>
    <t>11.1.74</t>
  </si>
  <si>
    <t>11.1.75</t>
  </si>
  <si>
    <t>11.1.76</t>
  </si>
  <si>
    <t>11.1.77</t>
  </si>
  <si>
    <t>11.1.78</t>
  </si>
  <si>
    <t>11.1.79</t>
  </si>
  <si>
    <t>11.1.80</t>
  </si>
  <si>
    <t>11.1.81</t>
  </si>
  <si>
    <t>11.1.82</t>
  </si>
  <si>
    <t>11.1.83</t>
  </si>
  <si>
    <t>11.1.84</t>
  </si>
  <si>
    <t>11.1.85</t>
  </si>
  <si>
    <t>11.1.86</t>
  </si>
  <si>
    <t>11.1.87</t>
  </si>
  <si>
    <t>11.1.88</t>
  </si>
  <si>
    <t>11.1.89</t>
  </si>
  <si>
    <t>11.1.90</t>
  </si>
  <si>
    <t>11.1.91</t>
  </si>
  <si>
    <t>11.1.92</t>
  </si>
  <si>
    <t>11.1.93</t>
  </si>
  <si>
    <t>11.1.94</t>
  </si>
  <si>
    <t>11.1.95</t>
  </si>
  <si>
    <t>11.1.96</t>
  </si>
  <si>
    <t>11.1.97</t>
  </si>
  <si>
    <t>11.1.98</t>
  </si>
  <si>
    <t>11.1.99</t>
  </si>
  <si>
    <t>11.1.100</t>
  </si>
  <si>
    <t>11.1.101</t>
  </si>
  <si>
    <t>11.1.102</t>
  </si>
  <si>
    <t>11.1.103</t>
  </si>
  <si>
    <t>11.1.104</t>
  </si>
  <si>
    <t>11.1.105</t>
  </si>
  <si>
    <t>11.1.106</t>
  </si>
  <si>
    <t>11.1.107</t>
  </si>
  <si>
    <t>11.1.108</t>
  </si>
  <si>
    <t>11.1.109</t>
  </si>
  <si>
    <t>11.1.110</t>
  </si>
  <si>
    <t>11.1.111</t>
  </si>
  <si>
    <t>11.1.112</t>
  </si>
  <si>
    <t>11.1.113</t>
  </si>
  <si>
    <t>11.1.114</t>
  </si>
  <si>
    <t>11.1.115</t>
  </si>
  <si>
    <t>11.1.116</t>
  </si>
  <si>
    <t>11.1.117</t>
  </si>
  <si>
    <t>11.1.118</t>
  </si>
  <si>
    <t>11.1.119</t>
  </si>
  <si>
    <t>11.1.120</t>
  </si>
  <si>
    <t>11.1.121</t>
  </si>
  <si>
    <t>11.1.122</t>
  </si>
  <si>
    <t>11.1.123</t>
  </si>
  <si>
    <t>11.1.124</t>
  </si>
  <si>
    <t>11.1.125</t>
  </si>
  <si>
    <t>11.1.126</t>
  </si>
  <si>
    <t>11.1.127</t>
  </si>
  <si>
    <t>11.1.128</t>
  </si>
  <si>
    <t>11.1.129</t>
  </si>
  <si>
    <t>11.1.130</t>
  </si>
  <si>
    <t>11.1.131</t>
  </si>
  <si>
    <t>11.1.132</t>
  </si>
  <si>
    <t>11.1.133</t>
  </si>
  <si>
    <t>11.1.134</t>
  </si>
  <si>
    <t>11.1.135</t>
  </si>
  <si>
    <t>11.1.136</t>
  </si>
  <si>
    <t>11.1.137</t>
  </si>
  <si>
    <t>11.1.138</t>
  </si>
  <si>
    <t>11.1.139</t>
  </si>
  <si>
    <t>11.1.140</t>
  </si>
  <si>
    <t>11.1.141</t>
  </si>
  <si>
    <t>11.1.142</t>
  </si>
  <si>
    <t>11.1.143</t>
  </si>
  <si>
    <t>11.1.144</t>
  </si>
  <si>
    <t>11.1.145</t>
  </si>
  <si>
    <t>11.1.146</t>
  </si>
  <si>
    <t>11.1.147</t>
  </si>
  <si>
    <t>11.1.148</t>
  </si>
  <si>
    <t>11.1.149</t>
  </si>
  <si>
    <t>11.1.150</t>
  </si>
  <si>
    <t>11.1.151</t>
  </si>
  <si>
    <t>11.1.152</t>
  </si>
  <si>
    <t>11.1.153</t>
  </si>
  <si>
    <t>11.1.154</t>
  </si>
  <si>
    <t>11.1.155</t>
  </si>
  <si>
    <t>11.1.156</t>
  </si>
  <si>
    <t>11.1.157</t>
  </si>
  <si>
    <t>11.1.158</t>
  </si>
  <si>
    <t>11.1.159</t>
  </si>
  <si>
    <t>11.1.160</t>
  </si>
  <si>
    <t>11.1.161</t>
  </si>
  <si>
    <t>11.1.162</t>
  </si>
  <si>
    <t>11.1.163</t>
  </si>
  <si>
    <t>11.1.164</t>
  </si>
  <si>
    <t>11.1.165</t>
  </si>
  <si>
    <t>11.1.166</t>
  </si>
  <si>
    <t>11.1.167</t>
  </si>
  <si>
    <t>11.1.168</t>
  </si>
  <si>
    <t>11.1.169</t>
  </si>
  <si>
    <t>11.1.170</t>
  </si>
  <si>
    <t>11.1.171</t>
  </si>
  <si>
    <t>11.1.172</t>
  </si>
  <si>
    <t>11.1.173</t>
  </si>
  <si>
    <t>11.1.174</t>
  </si>
  <si>
    <t>11.1.175</t>
  </si>
  <si>
    <t>11.1.176</t>
  </si>
  <si>
    <t>11.1.177</t>
  </si>
  <si>
    <t>11.1.178</t>
  </si>
  <si>
    <t>11.1.179</t>
  </si>
  <si>
    <t>11.1.180</t>
  </si>
  <si>
    <t>11.1.181</t>
  </si>
  <si>
    <t>11.1.182</t>
  </si>
  <si>
    <t>11.1.183</t>
  </si>
  <si>
    <t>11.1.184</t>
  </si>
  <si>
    <t>11.1.185</t>
  </si>
  <si>
    <t>11.1.186</t>
  </si>
  <si>
    <t>11.1.187</t>
  </si>
  <si>
    <t>11.1.188</t>
  </si>
  <si>
    <t>11.1.189</t>
  </si>
  <si>
    <t>11.1.190</t>
  </si>
  <si>
    <t>11.1.191</t>
  </si>
  <si>
    <t>11.1.192</t>
  </si>
  <si>
    <t>11.1.193</t>
  </si>
  <si>
    <t>11.1.194</t>
  </si>
  <si>
    <t>11.1.195</t>
  </si>
  <si>
    <t>11.1.196</t>
  </si>
  <si>
    <t>11.1.197</t>
  </si>
  <si>
    <t>11.1.198</t>
  </si>
  <si>
    <t>11.1.199</t>
  </si>
  <si>
    <t>11.1.200</t>
  </si>
  <si>
    <t>11.1.201</t>
  </si>
  <si>
    <t>11.1.202</t>
  </si>
  <si>
    <t>11.1.203</t>
  </si>
  <si>
    <t>11.1.204</t>
  </si>
  <si>
    <t>11.1.205</t>
  </si>
  <si>
    <t>11.1.206</t>
  </si>
  <si>
    <t>11.1.207</t>
  </si>
  <si>
    <t>11.1.208</t>
  </si>
  <si>
    <t>11.1.209</t>
  </si>
  <si>
    <t>11.1.210</t>
  </si>
  <si>
    <t>11.1.211</t>
  </si>
  <si>
    <t>11.1.212</t>
  </si>
  <si>
    <t>11.1.213</t>
  </si>
  <si>
    <t>11.1.214</t>
  </si>
  <si>
    <t>11.1.215</t>
  </si>
  <si>
    <t>11.1.216</t>
  </si>
  <si>
    <t>11.1.217</t>
  </si>
  <si>
    <t>11.1.218</t>
  </si>
  <si>
    <t>11.1.219</t>
  </si>
  <si>
    <t>11.1.220</t>
  </si>
  <si>
    <t>11.1.221</t>
  </si>
  <si>
    <t>11.1.222</t>
  </si>
  <si>
    <t>11.1.223</t>
  </si>
  <si>
    <t>11.1.224</t>
  </si>
  <si>
    <t>11.1.225</t>
  </si>
  <si>
    <t>11.1.226</t>
  </si>
  <si>
    <t>11.1.227</t>
  </si>
  <si>
    <t>11.1.228</t>
  </si>
  <si>
    <t>11.1.229</t>
  </si>
  <si>
    <t>11.1.230</t>
  </si>
  <si>
    <t>11.1.231</t>
  </si>
  <si>
    <t>11.1.232</t>
  </si>
  <si>
    <t>11.1.233</t>
  </si>
  <si>
    <t>11.1.234</t>
  </si>
  <si>
    <t>11.1.235</t>
  </si>
  <si>
    <t>11.1.236</t>
  </si>
  <si>
    <t>11.1.237</t>
  </si>
  <si>
    <t>11.1.238</t>
  </si>
  <si>
    <t>11.1.239</t>
  </si>
  <si>
    <t>11.1.240</t>
  </si>
  <si>
    <t>11.1.241</t>
  </si>
  <si>
    <t>11.1.242</t>
  </si>
  <si>
    <t>11.1.243</t>
  </si>
  <si>
    <t>11.1.244</t>
  </si>
  <si>
    <t>11.1.245</t>
  </si>
  <si>
    <t>11.1.246</t>
  </si>
  <si>
    <t>11.1.247</t>
  </si>
  <si>
    <t>11.1.248</t>
  </si>
  <si>
    <t>11.1.249</t>
  </si>
  <si>
    <t>11.1.250</t>
  </si>
  <si>
    <t>11.1.251</t>
  </si>
  <si>
    <t>11.1.252</t>
  </si>
  <si>
    <t>11.1.253</t>
  </si>
  <si>
    <t>11.1.254</t>
  </si>
  <si>
    <t>11.1.255</t>
  </si>
  <si>
    <t>11.1.256</t>
  </si>
  <si>
    <t>11.1.257</t>
  </si>
  <si>
    <t>11.1.258</t>
  </si>
  <si>
    <t>11.1.259</t>
  </si>
  <si>
    <t>11.1.260</t>
  </si>
  <si>
    <t>11.1.261</t>
  </si>
  <si>
    <t>11.1.262</t>
  </si>
  <si>
    <t>11.1.263</t>
  </si>
  <si>
    <t>11.1.264</t>
  </si>
  <si>
    <t>11.1.265</t>
  </si>
  <si>
    <t>11.1.266</t>
  </si>
  <si>
    <t>11.1.267</t>
  </si>
  <si>
    <t>11.1.268</t>
  </si>
  <si>
    <t>11.1.269</t>
  </si>
  <si>
    <t>11.1.270</t>
  </si>
  <si>
    <t>11.1.271</t>
  </si>
  <si>
    <t>11.1.272</t>
  </si>
  <si>
    <t>11.1.273</t>
  </si>
  <si>
    <t>11.1.274</t>
  </si>
  <si>
    <t>11.1.275</t>
  </si>
  <si>
    <t>11.1.276</t>
  </si>
  <si>
    <t>11.1.277</t>
  </si>
  <si>
    <t>11.1.278</t>
  </si>
  <si>
    <t>11.1.279</t>
  </si>
  <si>
    <t>11.1.280</t>
  </si>
  <si>
    <t>11.1.281</t>
  </si>
  <si>
    <t>11.1.282</t>
  </si>
  <si>
    <t>11.1.283</t>
  </si>
  <si>
    <t>Итого по государственной программе "Развитие образования Забайкальского края на 2014–2025 год"</t>
  </si>
  <si>
    <t>ИТОГО субсидий на оказание государственных услуг
(выполнение работ) по Министерству образования и науки Забайкальского края</t>
  </si>
  <si>
    <t>12.1.1</t>
  </si>
  <si>
    <t>12.1.2</t>
  </si>
  <si>
    <t>12.1.3</t>
  </si>
  <si>
    <t>12.1.4</t>
  </si>
  <si>
    <t>Машино-часы работы автомобиля
(в случаях, установленных нормативными правовыми актами Российской Федерации, субъектов Российской Федерации, органов местного самоуправления)</t>
  </si>
  <si>
    <t>Код (коды) бюджетной
классификации:
006 0113 2130219902 611</t>
  </si>
  <si>
    <t>Итого по государственной программе "Социально-экономическое развитие Агинского Бурятского округа Забайкальского края"</t>
  </si>
  <si>
    <t>12.2.1</t>
  </si>
  <si>
    <t>12.2.2</t>
  </si>
  <si>
    <t>12.2.3</t>
  </si>
  <si>
    <t>12.2.4</t>
  </si>
  <si>
    <t>Итого по государственной программе"Развитие образования Забайкальского края на 2014 - 2025 годы"</t>
  </si>
  <si>
    <t>Количество человеко-часов
(очная, физические лица за исключением лиц с ОВЗ и инвалидов)</t>
  </si>
  <si>
    <t>Код (коды) бюджетной
классификации:
006 0705 147011429 621</t>
  </si>
  <si>
    <t xml:space="preserve">Реализация дополнительных профессиональных программ повышения квалификация </t>
  </si>
  <si>
    <t>Количество мероприятий
(Проведение общественно значимых мероприятий в соответствии с планом мероприятий Минобрнауки России, Минобразования Забайкальского края)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</si>
  <si>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</si>
  <si>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</si>
  <si>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</si>
  <si>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</si>
  <si>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</si>
  <si>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</si>
  <si>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</si>
  <si>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</si>
  <si>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</si>
  <si>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Код (коды) бюджетной
классификации:
006 0801 1510212442 611</t>
  </si>
  <si>
    <t>Количество консультаций</t>
  </si>
  <si>
    <t>Код (коды) бюджетной
классификации:
006 0801 1510112441 611</t>
  </si>
  <si>
    <t>Количество предметов
(хранение музейных предметов)</t>
  </si>
  <si>
    <t>Код (коды) бюджетной
классификации:
006 0801 1520212444 611</t>
  </si>
  <si>
    <t>Количество отчетов
(аналитические отчеты, справки, информация)</t>
  </si>
  <si>
    <t>12.4.1</t>
  </si>
  <si>
    <t>12.4.2</t>
  </si>
  <si>
    <t>Итого по государственной программе "Развитие физической культуры и спорта в Забайкальском крае"</t>
  </si>
  <si>
    <t>ИТОГО субсидий на оказание государственных услуг
(выполнение работ) по Администрации Агинского Бурятского округа</t>
  </si>
  <si>
    <t>Департамент государственного имущества и земельных отношений Забайкальского края</t>
  </si>
  <si>
    <t>ИТОГО субсидий на оказание государственных услуг
(выполнение работ) по Министерству экономического развития Забайкальского края</t>
  </si>
  <si>
    <t>ИТОГО субсидий на оказание государственных услуг
(выполнение работ) по Министерству культуры Забайкальского края</t>
  </si>
  <si>
    <t>Спортивная подготовка по олимпийским видам спорта</t>
  </si>
  <si>
    <t>Число лиц, прошедших спортивную подготовку на этапах спортивной подготовки
(бокс, этап начальной подготовки)</t>
  </si>
  <si>
    <t xml:space="preserve"> Развитие физической культуры и спорта в Забайкальском крае</t>
  </si>
  <si>
    <t>Код (коды) бюджетной
классификации:
006 1103 1820113482 611</t>
  </si>
  <si>
    <t>Число лиц, прошедших спортивную подготовку на этапах спортивной подготовки
(бокс, тренировочный этап (этап спортивной специализации))</t>
  </si>
  <si>
    <t>12.4.3</t>
  </si>
  <si>
    <t>12.4.4</t>
  </si>
  <si>
    <t>Число лиц, прошедших спортивную подготовку на этапах спортивной подготовки
(настольный теннис, тренировочный этап (этап спортивной специализации))</t>
  </si>
  <si>
    <t>Число лиц, прошедших спортивную подготовку на этапах спортивной подготовки
(спортивная борьба,этап начальной подготовки)</t>
  </si>
  <si>
    <t>Число лиц, прошедших спортивную подготовку на этапах спортивной подготовки
(спортиваня борьба, тренировочный этап (этап спортивной специализации))</t>
  </si>
  <si>
    <t>12.4.5</t>
  </si>
  <si>
    <t>12.4.6</t>
  </si>
  <si>
    <t>Число лиц, прошедших спортивную подготовку на этапах спортивной подготовки
(спортивная борьба, этап совершенствования спортивного мастерства)</t>
  </si>
  <si>
    <t>Число лиц, прошедших спортивную подготовку на этапах спортивной подготовки
(спортивная борьба, этап высшего  спортивного мастерства)</t>
  </si>
  <si>
    <t>Число лиц, прошедших спортивную подготовку на этапах спортивной подготовки
(стрельба из лука, этап начальной подготовки)</t>
  </si>
  <si>
    <t>Число лиц, прошедших спортивную подготовку на этапах спортивной подготовки
(стрельба из лука, тренировочный этап (этап спортивной специализации))</t>
  </si>
  <si>
    <t>Число лиц, прошедших спортивную подготовку на этапах спортивной подготовки
(стрельба из лука, этап совершенствования спортивного мастерства)</t>
  </si>
  <si>
    <t>Число лиц, прошедших спортивную подготовку на этапах спортивной подготовки
(стрельба из лука, этап высшего спортивного мастерства)</t>
  </si>
  <si>
    <t>Спортивная подготовка по спорту лиц с поражением ОДА</t>
  </si>
  <si>
    <t>12.4.7</t>
  </si>
  <si>
    <t>12.4.8</t>
  </si>
  <si>
    <t>12.4.9</t>
  </si>
  <si>
    <t>12.4.10</t>
  </si>
  <si>
    <t>12.4.11</t>
  </si>
  <si>
    <t>12.4.12</t>
  </si>
  <si>
    <t>12.4.13</t>
  </si>
  <si>
    <t>12.4.14</t>
  </si>
  <si>
    <t>12.4.15</t>
  </si>
  <si>
    <t>Спортивная подготовка по неолимпийским видам спорта</t>
  </si>
  <si>
    <t>Число лиц, прошедших спортивную подготовку на этапах спортивной подготовки
(кикбоксинг (этап начальной подготовки))</t>
  </si>
  <si>
    <t>12.4.16</t>
  </si>
  <si>
    <t>12.4.17</t>
  </si>
  <si>
    <t>Число лиц, прошедших спортивную подготовку на этапах спортивной подготовки
(кикбоксинг (тренировочный этап))</t>
  </si>
  <si>
    <t>Число лиц, прошедших спортивную подготовку на этапах спортивной подготовки
(кикбоксинг (этап совершенствования спортивного мастерства))</t>
  </si>
  <si>
    <t>Число лиц, прошедших спортивную подготовку на этапах спортивной подготовки
(щахматы (этап начальной подготовки))</t>
  </si>
  <si>
    <t>12.4.18</t>
  </si>
  <si>
    <t>12.4.19</t>
  </si>
  <si>
    <t>12.4.20</t>
  </si>
  <si>
    <t>12.4.21</t>
  </si>
  <si>
    <t>Спортивная подготовка по спорту лиц с поражением опорно- двигательного аппарата (ПОДА)</t>
  </si>
  <si>
    <t>12.4.22</t>
  </si>
  <si>
    <t>Число лиц, прошедших спортивную подготовку на этапах спортивной подготовки
(Стрельба из лука (этап совершенствования спортивного мастерства))</t>
  </si>
  <si>
    <t>Количество мероприятий
(Организация тренировочного процесса по национальным видам спорта, подготовка и проведение физкультурных и спорт. мероприятий по нац. видам спорта)</t>
  </si>
  <si>
    <t>Количество мероприятий
(Предоставление объектов спорта для проведения спортивных мероприятий)</t>
  </si>
  <si>
    <t>12.4.23</t>
  </si>
  <si>
    <t>12.4.24</t>
  </si>
  <si>
    <t xml:space="preserve">Код (коды) бюджетной
классификации:
003 0901 1610413470 611    </t>
  </si>
  <si>
    <t>13.1.1</t>
  </si>
  <si>
    <t>13.1.2</t>
  </si>
  <si>
    <t xml:space="preserve">Код (коды) бюджетной
классификации:
 003 0901 1610413470 611       </t>
  </si>
  <si>
    <t>13.1.3</t>
  </si>
  <si>
    <t xml:space="preserve">Код (коды) бюджетной
классификации:
003 0901 1610413470 611   </t>
  </si>
  <si>
    <t>13.1.4</t>
  </si>
  <si>
    <t>Число обращений 
(в части диагностики и лечения, наркология, амбулаторно)</t>
  </si>
  <si>
    <t>Число посещений
(в части диагностики и лечения, психиатрия, амбулаторно)</t>
  </si>
  <si>
    <t>Число обращений
(в части диагностики и лечения, психиатрия, амбулаторно)</t>
  </si>
  <si>
    <t>Число посещений
(в части диагностики и лечения, венерология, амбулаторно)</t>
  </si>
  <si>
    <t>Число обращений
(в части диагностики и лечения, венерология, амбулаторно)</t>
  </si>
  <si>
    <t>Число посещений
(в части диагностики и лечения, фтизиатрия, амбулаторно)</t>
  </si>
  <si>
    <t>Число обращений
(в части диагностики и лечения, фтизиатрия, амбулаторно)</t>
  </si>
  <si>
    <t xml:space="preserve">Код (коды) бюджетной
классификации:
003 0901 1610413470 611                   </t>
  </si>
  <si>
    <t xml:space="preserve">Первичная медико-санитарная помощь, не включенная в базовую программу обязательного медицинского страхования </t>
  </si>
  <si>
    <t>Число посещений
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психиатрия-наркология, амбулаторно)</t>
  </si>
  <si>
    <t>Число обращений
((первичная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психиатрия-наркология, амбулаторно)</t>
  </si>
  <si>
    <t>Код (коды) бюджетной
классификации:
003 0901 1620313470 621</t>
  </si>
  <si>
    <t>13.1.5</t>
  </si>
  <si>
    <t>Число посещений
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психиатрия, амбулаторно)</t>
  </si>
  <si>
    <t>Число обращений
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психиатрия, амбулаторно)</t>
  </si>
  <si>
    <t>Код (коды) бюджетной
классификации:
003 0901 1620413470 111</t>
  </si>
  <si>
    <t>13.1.6</t>
  </si>
  <si>
    <t>Число обращений
(первичная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(ВИЧ-инфекции)), амбулаторно)</t>
  </si>
  <si>
    <t>13.1.7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</si>
  <si>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</si>
  <si>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госпитализации
(дерматовенерология (в части венерологии), стационар)</t>
  </si>
  <si>
    <t>Код (коды) бюджетной
классификации:
003 0901 1620913470 611</t>
  </si>
  <si>
    <t>13.1.8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</si>
  <si>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 </t>
  </si>
  <si>
    <t>Случаев госпитализации
(психиатрия, стационар)</t>
  </si>
  <si>
    <t>13.1.9</t>
  </si>
  <si>
    <t>Случаев госпитализации
(фтизиатрия, стационар)</t>
  </si>
  <si>
    <t>Код (коды) бюджетной
классификации: 
003 0901 1620113470 611</t>
  </si>
  <si>
    <t>13.1.10</t>
  </si>
  <si>
    <t>Случаев госпитализации
(психиатрия-наркология (в части наркологии), стационар)</t>
  </si>
  <si>
    <t>Код (коды) бюджетной
классификации:
003 0901 1610413470 611</t>
  </si>
  <si>
    <t>13.1.11</t>
  </si>
  <si>
    <t>Код (коды) бюджетной
классификации:
003 0901 1620113470 611</t>
  </si>
  <si>
    <t>Случаев лечения
(фтизиатрия, дневной стационар)</t>
  </si>
  <si>
    <t>13.1.12</t>
  </si>
  <si>
    <t>Число посещений
(в части диагностики и лечения, наркология, амбулаторно)</t>
  </si>
  <si>
    <t>Случаев лечения
(дерматовенерология (в части венерологии), дневной стационар)</t>
  </si>
  <si>
    <t>13.1.13</t>
  </si>
  <si>
    <t>Случаев лечения
(психиатрия, дневной стационар)</t>
  </si>
  <si>
    <t>Код (коды) бюджетной
классификации: 
003 0901 1620413470 111</t>
  </si>
  <si>
    <t>13.1.14</t>
  </si>
  <si>
    <t>Случаев лечения
(психиатрия-наркология (в части наркологии), дневной стационар)</t>
  </si>
  <si>
    <t>13.1.15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</si>
  <si>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</si>
  <si>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Число пациентов
(скорая, в том числе скорая специализированная, медицинская помощь (за исключением санитарно-авиационной эвакуации), вне медицинской организации)</t>
  </si>
  <si>
    <t>Код (коды) бюджетной
классификации:
003 0904 1620713477 611</t>
  </si>
  <si>
    <t>13.1.16</t>
  </si>
  <si>
    <t xml:space="preserve">Количество вызовов
(санитарно-авиационная эвакуация, вне медицинской организации) </t>
  </si>
  <si>
    <t xml:space="preserve">Количество полетных часов
(санитарно-авиационная эвакуация, вне медицинской организации) </t>
  </si>
  <si>
    <t>Код (коды) бюджетной
классификации:
003 0904 1620713469 111</t>
  </si>
  <si>
    <t>13.1.17</t>
  </si>
  <si>
    <t>13.1.18</t>
  </si>
  <si>
    <t>Паллиативная медицинская помощь</t>
  </si>
  <si>
    <t>Количество койко-дней
(стационар)</t>
  </si>
  <si>
    <t>Код (коды) бюджетной
классификации:
003 0901 1621313470 611</t>
  </si>
  <si>
    <t>Код (коды) бюджетной
классификации:
003 0704 1660413427 611</t>
  </si>
  <si>
    <t>13.1.19</t>
  </si>
  <si>
    <t>Численность обучающихся
(34.02.02 Медицинский массаж (для обучения лиц с ограниченными возможностями здоровья по зрению), очная с применением сетевой формы реализации и электронного обучения)</t>
  </si>
  <si>
    <t>Код (коды) бюджетной
классификации:
 003 0704 1660413427 611</t>
  </si>
  <si>
    <t>13.1.20</t>
  </si>
  <si>
    <t>Численность обучающихся
(31.02.02 Акушерское дело, очная с применением сетевой формы реализации, дистанционных образовательных технологий и электронного обучения.)</t>
  </si>
  <si>
    <t>13.1.21</t>
  </si>
  <si>
    <t>Код (коды) бюджетной
классификации:  
003 0704 1660413427 611</t>
  </si>
  <si>
    <t>13.1.22</t>
  </si>
  <si>
    <t>Численность обучающихся
(31.02.03 Лабораторная диагностика, среднее общее образование, очная)</t>
  </si>
  <si>
    <t>Численность обучающихся
(34.02.01 Сестринское дело,  очно-заочная с применением дистанционных образовательных технологий и электронного обучения)</t>
  </si>
  <si>
    <t>13.1.23</t>
  </si>
  <si>
    <t>Численность обучающихся
(32.02.01 Медико-профилактическое дело, очная с применением дистанционных образовательных технологий и электронного обучения)</t>
  </si>
  <si>
    <t>13.1.24</t>
  </si>
  <si>
    <t>Реализация образовательных программ среднего профессионального образования-программ подготовки специалистов среднего звена</t>
  </si>
  <si>
    <t>Численность обучающихся
(34.00.00 Сестринское дело, очная с применением дистанционных образовательных технологий и электронного обучения)</t>
  </si>
  <si>
    <t>13.1.25</t>
  </si>
  <si>
    <t>Численность обучающихся
(31.02.01 Лечебное дело, очная с применением электронного обучения)</t>
  </si>
  <si>
    <t>13.1.26</t>
  </si>
  <si>
    <t>Код (коды) бюджетной
классификации:
 003 0909 1680513469 611</t>
  </si>
  <si>
    <t>13.1.27</t>
  </si>
  <si>
    <t>Количество экземпляров изданий
(газеты, в бумажном виде)</t>
  </si>
  <si>
    <t>Количество экземпляров изданий
(журналы, в бумажном виде)</t>
  </si>
  <si>
    <t>Код (коды) бюджетной
классификации: 
003 0909 1680513469 611</t>
  </si>
  <si>
    <t>13.1.28</t>
  </si>
  <si>
    <t>Количество информационных ресурсов и баз данных
(обновление и сопровождение сайтов и баз данных)</t>
  </si>
  <si>
    <t>13.1.29</t>
  </si>
  <si>
    <t>Количество программно-технических средств
( типовые компоненты ИТКИ)</t>
  </si>
  <si>
    <t>Код (коды) бюджетной
классификации:
003 0909 1680513469 611</t>
  </si>
  <si>
    <t>13.1.30</t>
  </si>
  <si>
    <t>Код (коды) бюджетной
классификации: 
003 0909 1610113469 611</t>
  </si>
  <si>
    <t>13.1.31</t>
  </si>
  <si>
    <t>Код (коды) бюджетной
классификации:
003 0909 1620913469 611</t>
  </si>
  <si>
    <t>13.1.32</t>
  </si>
  <si>
    <t>13.1.33</t>
  </si>
  <si>
    <t>Санаторно-курортное лечение</t>
  </si>
  <si>
    <t>Количество койко-дней
(туберкулез, стационар)</t>
  </si>
  <si>
    <t>Код (коды) бюджетной
классификации:
003 0905 1620113473 111</t>
  </si>
  <si>
    <t>13.1.34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</si>
  <si>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</si>
  <si>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Число пациентов
(стационар)</t>
  </si>
  <si>
    <t>Код (коды) бюджетной
классификации:
003 0909 1640413486 111</t>
  </si>
  <si>
    <t>13.1.35</t>
  </si>
  <si>
    <t>13.1.36</t>
  </si>
  <si>
    <t>Код (коды) бюджетной
классификации:
003 0906 1621113472 111</t>
  </si>
  <si>
    <t>13.1.37</t>
  </si>
  <si>
    <t>13.1.38</t>
  </si>
  <si>
    <t>Итого по государственной программе "Развитие здравоохранения Забайкальского края" и непрограммной деятельности</t>
  </si>
  <si>
    <t>ИТОГО субсидий на оказание государственных услуг (выполнение работ) по Министерству здравоохранения Забайкальского края</t>
  </si>
  <si>
    <t>14.1.1</t>
  </si>
  <si>
    <t>Итого по государственной программе"Развитие физической культуры и спорта в Забайкальском крае"</t>
  </si>
  <si>
    <t>ИТОГО субсидий на оказание государственных услуг
(выполнение работ) по Министерству физической культуры и спорта Забайкальского края</t>
  </si>
  <si>
    <t>Число спортсменов
(проведение углубленных медицинских обследований спортсменов спортивных сборных команд субъекта Российской Федерации)</t>
  </si>
  <si>
    <t>Код (коды) бюджетной
классификации: 
011 1103 1820113482 611</t>
  </si>
  <si>
    <t>14.1.2</t>
  </si>
  <si>
    <t>14.1.3</t>
  </si>
  <si>
    <t>14.1.4</t>
  </si>
  <si>
    <t>Спортивная подготовка по олимпийским видим спорта</t>
  </si>
  <si>
    <t>Число лиц, прошедших спортивную подготовку на этапах спортивной подготовки
(велосипедный спорт, этап начальной подготовки)</t>
  </si>
  <si>
    <t>14.1.5</t>
  </si>
  <si>
    <t>Код (коды) бюджетной
классификации:
011 1103 1820113482 611</t>
  </si>
  <si>
    <t xml:space="preserve">Число лиц, прошедших спортивную подготовку на этапах спортивной подготовки
(велосипедный спорт, тренировочный этап (этап спортивной специализации)) </t>
  </si>
  <si>
    <t>14.1.6</t>
  </si>
  <si>
    <t xml:space="preserve">Число лиц, прошедших спортивную подготовку на этапах спортивной подготовки
(велосипедный спорт, этап совершенствования спортивного мастерства) </t>
  </si>
  <si>
    <t>14.1.7</t>
  </si>
  <si>
    <t xml:space="preserve">Число лиц, прошедших спортивную подготовку на этапах спортивной подготовки
(велосипедный спорт, этап высшего спортивного мастерства) </t>
  </si>
  <si>
    <t>14.1.8</t>
  </si>
  <si>
    <t>011 0704 1820113427 611</t>
  </si>
  <si>
    <t xml:space="preserve">Число лиц, прошедших спортивную подготовку на этапах спортивной подготовки
(волейбол, этап начальной подготовки) </t>
  </si>
  <si>
    <t>14.1.9</t>
  </si>
  <si>
    <t xml:space="preserve">Число лиц, прошедших спортивную подготовку на этапах спортивной подготовки
(волейбол, тренировочный этап (этап спортивной специализации)) </t>
  </si>
  <si>
    <t>14.1.10</t>
  </si>
  <si>
    <t xml:space="preserve">Число лиц, прошедших спортивную подготовку на этапах спортивной подготовки
(дзюдо, этап начальной подготовки) </t>
  </si>
  <si>
    <t>14.1.11</t>
  </si>
  <si>
    <t>14.1.12</t>
  </si>
  <si>
    <t>Число лиц, прошедших спортивную подготовку на этапах спортивной подготовки
(дзюдо, тренировочный этап (этап спортивной специализации))</t>
  </si>
  <si>
    <t xml:space="preserve">Число лиц, прошедших спортивную подготовку на этапах спортивной подготовки
(дзюдо, этап совершенствования спортивного мастерства) </t>
  </si>
  <si>
    <t>14.1.13</t>
  </si>
  <si>
    <t>14.1.14</t>
  </si>
  <si>
    <t>Число лиц, прошедших спортивную подготовку на этапах спортивной подготовки
(дзюдо, этап высшего спортивного мастерства)</t>
  </si>
  <si>
    <t xml:space="preserve">Число лиц, прошедших спортивную подготовку на этапах спортивной подготовки
(конькобежный спорт, этап начальной подготовки) </t>
  </si>
  <si>
    <t>14.1.15</t>
  </si>
  <si>
    <t>Число лиц, прошедших спортивную подготовку на этапах спортивной подготовки 
(конькобежный спорт, тренировочный этап (этап спортивной специализации))</t>
  </si>
  <si>
    <t>Код (коды) бюджетной
классификации:
011 0704 1820113427 611</t>
  </si>
  <si>
    <t>14.1.16</t>
  </si>
  <si>
    <t>14.1.17</t>
  </si>
  <si>
    <t xml:space="preserve">Число лиц, прошедших спортивную подготовку на этапах спортивной подготовки
(конькобежный спорт, этап совершенствования спортивного мастерства) </t>
  </si>
  <si>
    <t xml:space="preserve">Число лиц, прошедших спортивную подготовку на этапах спортивной подготовки
(настольный теннис, этап начальной подготовки) </t>
  </si>
  <si>
    <t xml:space="preserve">Число лиц, прошедших спортивную подготовку на этапах спортивной подготовки
(настольный теннис, тренировочный этап (этап спортивной специализации)) </t>
  </si>
  <si>
    <t>14.1.18</t>
  </si>
  <si>
    <t>14.1.19</t>
  </si>
  <si>
    <t>14.1.20</t>
  </si>
  <si>
    <t>Число лиц, прошедших спортивную подготовку на этапах спортивной подготовки 
(стрельба из лука, этап начальной подготовки)</t>
  </si>
  <si>
    <t>14.1.21</t>
  </si>
  <si>
    <t>14.1.22</t>
  </si>
  <si>
    <t xml:space="preserve">Число лиц, прошедших спортивную подготовку на этапах спортивной подготовки
(стрельба из лука, тренировочный этап (этап спортивной специализации)) </t>
  </si>
  <si>
    <t>14.1.23</t>
  </si>
  <si>
    <t>14.1.24</t>
  </si>
  <si>
    <t xml:space="preserve">Число лиц, прошедших спортивную подготовку на этапах спортивной подготовки
(стрельба из лука, этап совершенствования спортивного мастерства) </t>
  </si>
  <si>
    <t>14.1.25</t>
  </si>
  <si>
    <t>14.1.26</t>
  </si>
  <si>
    <t xml:space="preserve">Число лиц, прошедших спортивную подготовку на этапах спортивной подготовки
(стрельба из лука, этап высшего спортивного мастерства) </t>
  </si>
  <si>
    <t>14.1.27</t>
  </si>
  <si>
    <t>14.1.28</t>
  </si>
  <si>
    <t>14.1.29</t>
  </si>
  <si>
    <t>Число лиц, прошедших спортивную подготовку на этапах спортивной подготовки 
(художественная гимнастика, этап начальной подготовки)</t>
  </si>
  <si>
    <t>14.1.30</t>
  </si>
  <si>
    <t xml:space="preserve">Число лиц, прошедших спортивную подготовку на этапах спортивной подготовки
(художественная гимнастика, тренировочный этап (этап спортивной специализации)) </t>
  </si>
  <si>
    <t>14.1.31</t>
  </si>
  <si>
    <t xml:space="preserve">Число лиц, прошедших спортивную подготовку на этапах спортивной подготовки
(конный спорт, этап начальной подготовки) </t>
  </si>
  <si>
    <t>14.1.32</t>
  </si>
  <si>
    <t>Спортивная подготовка по неолимпийским видим спорта</t>
  </si>
  <si>
    <t xml:space="preserve">Число лиц, прошедших спортивную подготовку на этапах спортивной подготовки
(самбо, этап начальной подготовки) </t>
  </si>
  <si>
    <t>14.1.33</t>
  </si>
  <si>
    <t>14.1.34</t>
  </si>
  <si>
    <t>14.1.35</t>
  </si>
  <si>
    <t>Число лиц, прошедших спортивную подготовку на этапах спортивной подготовки 
(стрельба из лука, этап высшего спортивного мастерства)</t>
  </si>
  <si>
    <t>Число лиц, прошедших спортивную подготовку на этапах спортивной подготовки
(хоккей, этап совершенствования спортивного мастерства)</t>
  </si>
  <si>
    <t>14.1.36</t>
  </si>
  <si>
    <t>Число лиц, прошедших спортивную подготовку на этапах спортивной подготовки
(хоккей, тренировочный этап (этап спортивной специализации))</t>
  </si>
  <si>
    <t xml:space="preserve">Число лиц, прошедших спортивную подготовку на этапах спортивной подготовки
(хоккей, этап начальной подготовки) </t>
  </si>
  <si>
    <t>14.1.37</t>
  </si>
  <si>
    <t>14.1.38</t>
  </si>
  <si>
    <t xml:space="preserve">Число лиц, прошедших спортивную подготовку на этапах спортивной подготовки
(легкая атлетика, этап начальной подготовки) </t>
  </si>
  <si>
    <t>14.1.39</t>
  </si>
  <si>
    <t xml:space="preserve">Число лиц, прошедших спортивную подготовку на этапах спортивной подготовки
(легкая атлетика, тренировочный этап (этап спортивной специализации)) </t>
  </si>
  <si>
    <t>14.1.40</t>
  </si>
  <si>
    <t>Число лиц, прошедших спортивную подготовку на этапах спортивной подготовки 
(легкая атлетика, этап совершенствования спортивного мастерства)</t>
  </si>
  <si>
    <t>14.1.41</t>
  </si>
  <si>
    <t xml:space="preserve">Число лиц, прошедших спортивную подготовку на этапах спортивной подготовки
(тяжелая атлетика, этап начальной подготовки) </t>
  </si>
  <si>
    <t>14.1.42</t>
  </si>
  <si>
    <t>Число лиц, прошедших спортивную подготовку на этапах спортивной подготовки 
(тяжелая атлетика, тренировочный этап (этап спортивной специализации))</t>
  </si>
  <si>
    <t>14.1.43</t>
  </si>
  <si>
    <t xml:space="preserve">Число лиц, прошедших спортивную подготовку на этапах спортивной подготовки
(тяжелая атлетика, этап совершенствования спортивного мастерства) </t>
  </si>
  <si>
    <t>14.1.44</t>
  </si>
  <si>
    <t xml:space="preserve">Число лиц, прошедших спортивную подготовку на этапах спортивной подготовки
(тяжелая атлетика, этап высшего спортивного мастерства) </t>
  </si>
  <si>
    <t>14.1.45</t>
  </si>
  <si>
    <t xml:space="preserve">Число лиц, прошедших спортивную подготовку на этапах спортивной подготовки
(:регби, этап начальной подготовки) </t>
  </si>
  <si>
    <t>14.1.46</t>
  </si>
  <si>
    <t xml:space="preserve">Число лиц, прошедших спортивную подготовку на этапах спортивной подготовки
(регби, тренировочный этап (этап спортивной специализации)) </t>
  </si>
  <si>
    <t>14.1.47</t>
  </si>
  <si>
    <t>Число лиц, прошедших спортивную подготовку на этапах спортивной подготовки 
(баскетбол, этап начальной подготовки)</t>
  </si>
  <si>
    <t>14.1.48</t>
  </si>
  <si>
    <t xml:space="preserve">Число лиц, прошедших спортивную подготовку на этапах спортивной подготовки
(хоккей с мячом, этап начальной подготовки) </t>
  </si>
  <si>
    <t>14.1.49</t>
  </si>
  <si>
    <t xml:space="preserve">Число лиц, прошедших спортивную подготовку на этапах спортивной подготовки
(хоккей с мячом, тренировочный этап (этап спортивной специализации)) </t>
  </si>
  <si>
    <t>14.1.50</t>
  </si>
  <si>
    <t>Число лиц, прошедших спортивную подготовку на этапах спортивной подготовки 
(пауэрлифтинг, тренировочный этап (этап спортивной специализации))</t>
  </si>
  <si>
    <t>14.1.51</t>
  </si>
  <si>
    <t>14.1.52</t>
  </si>
  <si>
    <t>14.1.53</t>
  </si>
  <si>
    <t>14.1.54</t>
  </si>
  <si>
    <t>14.1.55</t>
  </si>
  <si>
    <t>Число лиц, прошедших спортивную подготовку на этапах спортивной подготовки
(бокс, этап совершенствования спортивного мастерства)</t>
  </si>
  <si>
    <t>14.1.56</t>
  </si>
  <si>
    <t>Число лиц, прошедших спортивную подготовку на этапах спортивной подготовки
(бокс, этап высшего спортивного мастерства)</t>
  </si>
  <si>
    <t>14.1.57</t>
  </si>
  <si>
    <t>Число лиц, прошедших спортивную подготовку на этапах спортивной подготовки
(спортивная борьба, этап начальной подготовки)</t>
  </si>
  <si>
    <t>14.1.58</t>
  </si>
  <si>
    <t>14.1.59</t>
  </si>
  <si>
    <t>Код (коды) бюджетной
классификации: 
011 0704 1820113427 611</t>
  </si>
  <si>
    <t>14.1.60</t>
  </si>
  <si>
    <t>14.1.61</t>
  </si>
  <si>
    <t>14.1.62</t>
  </si>
  <si>
    <t>Число лиц, прошедших спортивную подготовку на этапах спортивной подготовки
(кикбоксинг, этап начальной подготовки)</t>
  </si>
  <si>
    <t>14.1.63</t>
  </si>
  <si>
    <t>Число лиц, прошедших спортивную подготовку на этапах спортивной подготовки
(кикбоксинг, тренировочный этап (этап спортивной специализации))</t>
  </si>
  <si>
    <t>14.1.64</t>
  </si>
  <si>
    <t>Спортивная подготовка по неолимпийским видам спорт</t>
  </si>
  <si>
    <t>Число лиц, прошедших спортивную подготовку на этапах спортивной подготовки
(кикбоксинг, этап совершенствования спортивного мастерства)</t>
  </si>
  <si>
    <t>14.1.65</t>
  </si>
  <si>
    <t>Число лиц, прошедших спортивную подготовку на этапах спортивной подготовки
(шахматы, этап начальной подготовки)</t>
  </si>
  <si>
    <t>14.1.66</t>
  </si>
  <si>
    <t>Число лиц, прошедших спортивную подготовку на этапах спортивной подготовки
(шахматы, тренировочный этап (этап спортивной специализации))</t>
  </si>
  <si>
    <t>14.1.67</t>
  </si>
  <si>
    <t>Спортивная подготовка по Олимпийским видам спорта</t>
  </si>
  <si>
    <t>Число лиц, прошедших спортивную подготовку на этапах спортивной подготовки
(биатлон, этап начальной подготовки)</t>
  </si>
  <si>
    <t>14.1.68</t>
  </si>
  <si>
    <t>Число лиц, прошедших спортивную подготовку на этапах спортивной подготовки 
(биатлон, тренировочный этап (этап спортивной специализации))</t>
  </si>
  <si>
    <t>14.1.69</t>
  </si>
  <si>
    <t>14.1.70</t>
  </si>
  <si>
    <t>Число лиц, прошедших спортивную подготовку на этапах спортивной подготовки
(биатлон, этап совершенствования спортивного мастерства)</t>
  </si>
  <si>
    <t>14.1.71</t>
  </si>
  <si>
    <t>Число лиц, прошедших спортивную подготовку на этапах спортивной подготовки
(биатлон, этап высшего спортивного мастерства)</t>
  </si>
  <si>
    <t>14.1.72</t>
  </si>
  <si>
    <t>Число лиц, прошедших спортивную подготовку на этапах спортивной подготовки
(лыжные гонки, этап начальной подготовки)</t>
  </si>
  <si>
    <t>14.1.73</t>
  </si>
  <si>
    <t>Число лиц, прошедших спортивную подготовку на этапах спортивной подготовки
(спортивное ориентирование, этап начальной подготовки)</t>
  </si>
  <si>
    <t>Число лиц, прошедших спортивную подготовку на этапах спортивной подготовки
(спортивное ориентирование, тренировочный этап (этап спортивной специализации))</t>
  </si>
  <si>
    <t>14.1.74</t>
  </si>
  <si>
    <t>14.1.75</t>
  </si>
  <si>
    <t>Число лиц, прошедших спортивную подготовку на этапах спортивной подготовки
(спортивное ориентирование- этап совершенствования спортивного мастерства)</t>
  </si>
  <si>
    <t>Число лиц, прошедших спортивную подготовку на этапах спортивной подготовки
(спортивное ориентирование,  этап высшего спортивного мастерства)</t>
  </si>
  <si>
    <t>14.1.76</t>
  </si>
  <si>
    <t>Число лиц, прошедших спортивную подготовку на этапах спортивной подготовки
(киокусинкай, этап совершенствования спортивного мастерства)</t>
  </si>
  <si>
    <t>14.1.77</t>
  </si>
  <si>
    <t>14.1.78</t>
  </si>
  <si>
    <t>Число лиц, прошедших спортивную подготовку на этапах спортивной подготовки
(футбол, этап начальной подготовки)</t>
  </si>
  <si>
    <t>14.1.79</t>
  </si>
  <si>
    <t>Число лиц, прошедших спортивную подготовку на этапах спортивной подготовки
(футбол, тренировочный этап (этап спортивной специализации))</t>
  </si>
  <si>
    <t>Код (коды) бюджетной
классификации: 
011 1103 1820113482 621</t>
  </si>
  <si>
    <t>14.1.80</t>
  </si>
  <si>
    <t>Число лиц, прошедших спортивную подготовку на этапах спортивной подготовки
(футбол, этап совершенствования спортивного мастерства)</t>
  </si>
  <si>
    <t>14.1.81</t>
  </si>
  <si>
    <t>Число лиц, прошедших спортивную подготовку на этапах спортивной подготовки
(футбол, этап высшего спортивного мастерства)</t>
  </si>
  <si>
    <t>Код (коды) бюджетной
классификации:
011 1103 1820113482 621</t>
  </si>
  <si>
    <t>14.1.82</t>
  </si>
  <si>
    <t>14.1.83</t>
  </si>
  <si>
    <t xml:space="preserve">Реализация основных профессиональных образовательных программ среднего пофессионального образования- программа подготовки специалистов среднего звена на базе среднего общего образования </t>
  </si>
  <si>
    <t>Численность обучающихся
(49.02.01 Физическая культура, очная)</t>
  </si>
  <si>
    <t>14.1.84</t>
  </si>
  <si>
    <t>14.1.85</t>
  </si>
  <si>
    <t>14.1.86</t>
  </si>
  <si>
    <t>14.1.87</t>
  </si>
  <si>
    <t>14.1.88</t>
  </si>
  <si>
    <t>14.1.89</t>
  </si>
  <si>
    <t>14.1.90</t>
  </si>
  <si>
    <t>14.1.91</t>
  </si>
  <si>
    <t>Количество мероприятий
(предоставление объектов спорта для проведения спортивных мероприятий, на территории Забайкальского края)</t>
  </si>
  <si>
    <t xml:space="preserve"> Развитие образования Забайкальского края на 2014-2025 годы</t>
  </si>
  <si>
    <t>Итого по государственной программе "Развитие образования Забайкальского края на 2014-2025 годы"</t>
  </si>
  <si>
    <t>15.1.1</t>
  </si>
  <si>
    <t>Код (коды) бюджетной
классификации:
001 0707 1460111435 621</t>
  </si>
  <si>
    <t>15.1.2</t>
  </si>
  <si>
    <t>15.1.3</t>
  </si>
  <si>
    <t>Количество проведенных мероприятий
(соревнования, турниры, спортивные мероприятия)</t>
  </si>
  <si>
    <t>15.1.4</t>
  </si>
  <si>
    <t>15.2.1</t>
  </si>
  <si>
    <t>15.2.2</t>
  </si>
  <si>
    <t>15.2.3</t>
  </si>
  <si>
    <t>Итого по непрограммной деятельности</t>
  </si>
  <si>
    <t>Код (коды) бюджетной
классификации: 
001 1202 8800098701 621</t>
  </si>
  <si>
    <t>Код (коды) бюджетной
классификации: 
001 0707 1460111435 621</t>
  </si>
  <si>
    <t>ВСЕГО СУБСИДИЙ НА ОКАЗАНИЕ ГОСУДАРСТВЕННЫХ УСЛУГ (ВЫПОЛНЕНИЕ РАБОТ)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</si>
  <si>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информации о данных рынка недвижимости</t>
  </si>
  <si>
    <t>Объем представленной информации
(в электронном виде)</t>
  </si>
  <si>
    <t>Разъяснение результатов определения кадастровой стоимости</t>
  </si>
  <si>
    <t>Количество поступивших обращений и запросов, в отношении которых представлены разъяснения
(в электронном виде)</t>
  </si>
  <si>
    <t>Количество поступивших обращений и запросов, в отношении которых представлены разъяснения
(в бумажном виде)</t>
  </si>
  <si>
    <t>Рассмотрение обращений, связанных с наличием ошибок, допущенных при определении кадастровой стоимости</t>
  </si>
  <si>
    <t>Количество рассмотренных обращений, запросов, связанных с наличием ошибок, допущенных при определении кадастровой стоимости
(в электронном виде)</t>
  </si>
  <si>
    <t xml:space="preserve">Рассмотрение обращений, связанных с наличием ошибок, допущенных при определении кадастровой стоимости
</t>
  </si>
  <si>
    <t>Количество рассмотренных обращений, запросов, связанных с наличием ошибок, допущенных при определении кадастровой стоимости
(в бумажном виде)</t>
  </si>
  <si>
    <t>Хранение копий документов и материалов, использованных при определении кадастровой стоимости</t>
  </si>
  <si>
    <t>Объем хранимых дел (документов)
(в электронном виде)</t>
  </si>
  <si>
    <t>Объем хранимых дел (документов)
(в бумажном виде)</t>
  </si>
  <si>
    <t>Определение кадастровой стоимости объектов недвижимости в соответствии со статьей 16 Федерального закона от 3 июля 2016 года № 237-ФЗ "О государственной кадастровой оценке"</t>
  </si>
  <si>
    <t>Количество объектов недвижимости, для которых определена кадастровая стоимость
(в бумажном виде)</t>
  </si>
  <si>
    <t>Количество объектов недвижимости, для которых определена кадастровая стоимость
(в электронном виде)</t>
  </si>
  <si>
    <t>Определение кадастровой стоимости объектов недвижимости в соответствии со статьей 14 Федерального закона от 3 июля 2016 года № 237-ФЗ "О государственной кадастровой оценке"</t>
  </si>
  <si>
    <t>Сбор, обработка, систематизация и накопление информации при определении кадастровой стоимости</t>
  </si>
  <si>
    <t>Количество объектов недвижимости, по которым собрана информация
(в бумажном виде)</t>
  </si>
  <si>
    <t>Количество объектов недвижимости, по которым собрана информация
(в электронном виде)</t>
  </si>
  <si>
    <t>Оперативные сводки и донесения</t>
  </si>
  <si>
    <t>документ</t>
  </si>
  <si>
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
</t>
  </si>
  <si>
    <t>Социальная поддержка граждан и непрограммная деятельность</t>
  </si>
  <si>
    <t xml:space="preserve">Предоставление социального обслуживания в форме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</t>
  </si>
  <si>
    <t>Число получателей социальных услуг (очное)</t>
  </si>
  <si>
    <t>Предоставление социального обслуживания в форме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жизнедеятельност, в том числе детей-инвалидов, срочных социальных услуг</t>
  </si>
  <si>
    <t>Число получателей социальных услуг (заочное)</t>
  </si>
  <si>
    <t>5.1.9</t>
  </si>
  <si>
    <t>Количество отчетов, подлежащих своду 
(бумажные носители информации)</t>
  </si>
  <si>
    <t>Количество номеров
(в бумажном виде)</t>
  </si>
  <si>
    <t>Количество мероприятий
(плановые лабораторные исследования)</t>
  </si>
  <si>
    <t>Количество мероприятий
(вакцинация, на выезде)</t>
  </si>
  <si>
    <t>Количество мероприятий
(вакцинация, стационар)</t>
  </si>
  <si>
    <t>Количество мероприятий
(ветеринарно-санитарные мероприятия, на выезде)</t>
  </si>
  <si>
    <t>Количество мероприятий
(плановые лабораторные исследования - оформление документации)</t>
  </si>
  <si>
    <t>Количество мероприятий
(ветеринарные организационные работы - оформление документации)</t>
  </si>
  <si>
    <t>Количество мероприятий
(плановые профилактические вакцинаций - оформление документации, на выезде)</t>
  </si>
  <si>
    <t>Количество мероприятий
(ветеринарно-санитарные мероприятия - оформление документации, на выезде)</t>
  </si>
  <si>
    <t>Количество мероприятий
(плановые диагностические мероприятия, на выезде)</t>
  </si>
  <si>
    <t>Количество мероприятий
(плановые диагностические мероприятия - оформление документации, на выезде)</t>
  </si>
  <si>
    <t>Количество мероприятий
(отбор проб, на выезде)</t>
  </si>
  <si>
    <t>Количество мероприятий
(осмотр объектов, на выезде)</t>
  </si>
  <si>
    <t>Количество мероприятий
(отбор проб, стационар)</t>
  </si>
  <si>
    <t>Количество мероприятий
(ветеринарно-санитарная экспертиза сырья и продукции животного происхождения - оформление документации, стационар)</t>
  </si>
  <si>
    <t>Количество мероприятий
(ветеринарно-санитарная экспертиза сырья и продукции животного происхождения - лабораторные исследования, стационар)</t>
  </si>
  <si>
    <t>Количество документов
(оформление документации, стационар)</t>
  </si>
  <si>
    <t>Количество документов
(проведение мероприятий, стационар)</t>
  </si>
  <si>
    <t>гектар</t>
  </si>
  <si>
    <t>Осуществление мероприятий в области использования лесов, включая организацию и развитие туризма и отдыха в лесах</t>
  </si>
  <si>
    <t>единица
(благоустройство зон отдыха граждан, пребывающих в лесах)</t>
  </si>
  <si>
    <t>единица
(установка шлагбаумов, устройство преград, обеспечивающих ограничение пребывания граждан в лесах в целях обеспечения пожарной безопасности
в т.ч. установка шлагбаумов)</t>
  </si>
  <si>
    <t>Предупреждение возникновения и распространения лесных пожаров, а также их тушение, включая территорию ООПТ</t>
  </si>
  <si>
    <t>единица
(изготовление и установка стендов, содержащих информацию о мерах пожарной безопасности)</t>
  </si>
  <si>
    <t xml:space="preserve">Предупреждение возникновения и распространения лесных пожаров, а также их тушение, включая территорию ООПТ
</t>
  </si>
  <si>
    <t>единица
(изготовление и распространение плакатов, содержащих информацию о мерах пожарной безопасности)</t>
  </si>
  <si>
    <t>единица
(изготовление и установка аншлагов, содержащих информацию о мерах пожарной безопасности)</t>
  </si>
  <si>
    <t>единица
(изготовление и установка баннеров, содержащих информацию о мерах пожарной безопасности)</t>
  </si>
  <si>
    <t>единица
(изготовление и распространение листовок, содержащих информацию о мерах пожарной безопасности )</t>
  </si>
  <si>
    <t xml:space="preserve">Тушение лесных пожаров </t>
  </si>
  <si>
    <t>гектар
(в наземной зоне охраны лесов)</t>
  </si>
  <si>
    <t>гектар
 (мониторинг пожарной опасности в лесах и лесных пожаров путем наземного патрулирования лесов - кратность патрулирования 2)</t>
  </si>
  <si>
    <t xml:space="preserve">
Предупреждение возникновения и распространения лесных пожаров, а также их тушение, включая территорию ООПТ</t>
  </si>
  <si>
    <t>гектар
(проведение мониторинга пожарной опасности в лесах в авиационной зоне охраны)</t>
  </si>
  <si>
    <t>046 0407 0910119299 611</t>
  </si>
  <si>
    <t>046 0407 0910419299 621</t>
  </si>
  <si>
    <t>гектар
(отвод лесосек под сплошные рубки)</t>
  </si>
  <si>
    <t>Выполнение работ по отводу лесосек</t>
  </si>
  <si>
    <t>гектар
(отвод лесосек под рубки, проводимые в целях ухода за лесами)</t>
  </si>
  <si>
    <t>гектар
(отвод лесосек под выборочные рубки)</t>
  </si>
  <si>
    <t>Уникальный номер регионального или общероссийского перечня государственных услуг (работ):
841112.Р.24.0.АШ710001000</t>
  </si>
  <si>
    <t>Уникальный номер регионального или общероссийского перечня государственных услуг (работ): 
 841112.Р.24.0.АШ670001000</t>
  </si>
  <si>
    <t>Уникальный номер регионального или общероссийского перечня государственных услуг (работ):
 841112.Р.24.0.АШ670002000</t>
  </si>
  <si>
    <t>Уникальный номер регионального или общероссийского перечня государственных услуг (работ):
841112.Р.24.0.АШ680001000</t>
  </si>
  <si>
    <t>Уникальный номер регионального или общероссийского перечня государственных услуг (работ):
841112.Р.24.0.АШ680002000</t>
  </si>
  <si>
    <t>Уникальный номер регионального или общероссийского перечня государственных услуг (работ):
841112.Р.24.0.АШ690003000</t>
  </si>
  <si>
    <t>Уникальный номер регионального или общероссийского перечня государственных услуг (работ):
841112.Р.24.0.АШ690004000</t>
  </si>
  <si>
    <t>Уникальный номер регионального или общероссийского перечня государственных услуг (работ): 
 910112.Р.24.1.АВ890002000</t>
  </si>
  <si>
    <t>Уникальный номер регионального или общероссийского перечня государственных услуг (работ):
  910112.Р.24.1.АВ860004000</t>
  </si>
  <si>
    <t>Уникальный номер регионального или общероссийского перечня государственных услуг (работ):
721929.Р.24.1.АШ590002000</t>
  </si>
  <si>
    <t>Уникальный номер регионального или общероссийского перечня государственных услуг (работ): 
712010.Р.24.1.АШ660002000</t>
  </si>
  <si>
    <t>Уникальный номер регионального или общероссийского перечня государственных услуг (работ):
 841112.Р.24.1.АШ650001000</t>
  </si>
  <si>
    <t>Уникальный номер регионального или общероссийского перечня государственных услуг (работ): 
841112.Р.24.1.АШ650002000</t>
  </si>
  <si>
    <t>Уникальный номер регионального или общероссийского перечня государственных услуг (работ): 
841112.Р.24.1.АШ660001000</t>
  </si>
  <si>
    <t>Уникальный номер регионального или общероссийского перечня государственных услуг (работ): 
841112.Р.24.1.АШ660002000</t>
  </si>
  <si>
    <t>Уникальный номер регионального или общероссийского перечня государственных услуг (работ):
841112.Р.24.1.АШ640001000</t>
  </si>
  <si>
    <t>Уникальный номер регионального или общероссийского перечня государственных услуг (работ): 
841112.Р.24.1.АШ640002000</t>
  </si>
  <si>
    <t>Уникальный номер регионального или общероссийского перечня государственных услуг (работ): 
910000.Р.24.1.АВ940002000</t>
  </si>
  <si>
    <t>Уникальный номер регионального или общероссийского перечня государственных услуг (работ):
900410.Р.24.1.АГ070003000</t>
  </si>
  <si>
    <t>Уникальный номер регионального или общероссийского перечня государственных услуг (работ):
932900.Р.24.1.АЗ370002000</t>
  </si>
  <si>
    <t>Уникальный номер регионального или общероссийского перечня государственных услуг (работ):
900000.Р.24.1.АВ650003000</t>
  </si>
  <si>
    <t>Уникальный номер регионального или общероссийского перечня государственных услуг (работ):
900212.Р.24.1.АГ590003000</t>
  </si>
  <si>
    <t>Уникальный номер регионального или общероссийского перечня государственных услуг (работ):
900211.Р.24.1.АВ620003000</t>
  </si>
  <si>
    <t>Уникальный номер регионального или общероссийского перечня государственных услуг (работ):
900211.Р.24.1.АВ610006000</t>
  </si>
  <si>
    <t>Уникальный номер регионального или общероссийского перечня государственных услуг (работ):
 910000.Р.24.1.АГ050002000</t>
  </si>
  <si>
    <t>Уникальный номер регионального или общероссийского перечня государственных услуг (работ): 804200О.99.0.ББ60АБ21001</t>
  </si>
  <si>
    <t>Уникальный номер регионального или общероссийского перечня государственных услуг (работ): 631100.Р.75.1.АЖ460001001</t>
  </si>
  <si>
    <t>Уникальный номер регионального или общероссийского перечня государственных услуг (работ): 631100.Р.24.1.АЖ540002000</t>
  </si>
  <si>
    <t>Уникальный номер регионального или общероссийского перечня государственных услуг (работ): 842212.Р.24.1.АЭ750002000</t>
  </si>
  <si>
    <t>Уникальный номер регионального или общероссийского перечня государственных услуг (работ): 842212.Р.24.1.АЭ680002000</t>
  </si>
  <si>
    <t>Уникальный номер регионального или общероссийского перечня государственных услуг (работ): 842212.Р.24.1.АЭ680003000</t>
  </si>
  <si>
    <t>Уникальный номер регионального или общероссийского перечня государственных услуг (работ): 842212.Р.24.1.АЭ700002000</t>
  </si>
  <si>
    <t>Уникальный номер регионального или общероссийского перечня государственных услуг (работ): 842511.Р.24.1.АЭ720002000</t>
  </si>
  <si>
    <t>Уникальный номер регионального или общероссийского перечня государственных услуг (работ):  841120.Р.24.0.АЩ570001000</t>
  </si>
  <si>
    <t>Уникальный номер регионального или общероссийского перечня государственных услуг (работ): 639900.Р.24.1.АЖ470002000</t>
  </si>
  <si>
    <t>Уникальный номер регионального или общероссийского перечня государственных услуг (работ): 620000.Р.24.1.АЖ470002000</t>
  </si>
  <si>
    <t>Уникальный номер регионального или общероссийского перечня государственных услуг (работ): 611000.Р.24.1.АЖ470002000</t>
  </si>
  <si>
    <t>Уникальный номер регионального или общероссийского перечня государственных услуг (работ): 853100О.99.0.АЭ09АА00000</t>
  </si>
  <si>
    <t>Уникальный номер регионального или общероссийского перечня государственных услуг (работ): 853100О.99.0.БА59АА02000</t>
  </si>
  <si>
    <t>Уникальный номер регионального или общероссийского перечня государственных услуг (работ): 853100О.99.0.АЭ11АА00000</t>
  </si>
  <si>
    <t xml:space="preserve">Уникальный номер регионального или общероссийского перечня государственных услуг (работ): 853100О.99.0.АЭ11АА01000 </t>
  </si>
  <si>
    <t>Уникальный номер регионального или общероссийского перечня государственных услуг (работ):  853100О.99.0.БА60АА00000</t>
  </si>
  <si>
    <t>Уникальный номер регионального или общероссийского перечня государственных услуг (работ):  680000О.99.0.АЮ53АА00002</t>
  </si>
  <si>
    <t>Уникальный номер регионального или общероссийского перечня государственных услуг (работ): 692000.Р.24.1.АЧ190004000</t>
  </si>
  <si>
    <t>Уникальный номер регионального или общероссийского перечня государственных услуг (работ): 692000.Р.24.1.АЧ240003000</t>
  </si>
  <si>
    <t>Уникальный номер регионального или общероссийского перечня государственных услуг (работ):
910310.Р.24.1.АГ000002000</t>
  </si>
  <si>
    <t>Уникальный номер регионального или общероссийского перечня государственных услуг (работ): 910411.Р.24.1.АВ160002000</t>
  </si>
  <si>
    <t>Уникальный номер регионального или общероссийского перечня государственных услуг (работ): 014310.Р.24.1.АЦ370002000</t>
  </si>
  <si>
    <t>Уникальный номер регионального или общероссийского перечня государственных услуг (работ): 900410.Р.24.1.АЧ670003000</t>
  </si>
  <si>
    <t>Уникальный номер регионального или общероссийского перечня государственных услуг (работ):   900410.Р.24.1.АГ660003000</t>
  </si>
  <si>
    <t>Уникальный номер регионального или общероссийского перечня государственных услуг (работ):   910000.Р.24.1.АВ940002000</t>
  </si>
  <si>
    <t>Уникальный номер регионального или общероссийского перечня государственных услуг (работ):                   692000.Р.24.1.АЧ190002000</t>
  </si>
  <si>
    <t>Уникальный номер регионального или общероссийского перечня государственных услуг (работ): 900410.Р.24.1.АГ740004000</t>
  </si>
  <si>
    <t>Уникальный номер регионального или общероссийского перечня государственных услуг (работ):                                                   900410.Р.24.1.АГ070003000</t>
  </si>
  <si>
    <t>Уникальный номер регионального или общероссийского перечня государственных услуг (работ):          949916О.99.0.ББ77АА00003</t>
  </si>
  <si>
    <t>Уникальный номер регионального или общероссийского перечня государственных услуг (работ): 
581900.Р.24.1.АЗ040003000</t>
  </si>
  <si>
    <t>Уникальный номер регионального или общероссийского перечня государственных услуг (работ): 900000.Р.24.1.АВ650003000</t>
  </si>
  <si>
    <t>Уникальный номер регионального или общероссийского перечня государственных услуг (работ): 631210.Р.24.1.АЖ570001000</t>
  </si>
  <si>
    <t>Уникальный номер регионального или общероссийского перечня государственных услуг (работ):           900212.Р.24.1.АГ590003000</t>
  </si>
  <si>
    <t>Уникальный номер регионального или общероссийского перечня государственных услуг (работ): 591400О.99.0.ББ85АА01000</t>
  </si>
  <si>
    <t>Уникальный номер регионального или общероссийского перечня государственных услуг (работ): 
900410.Р.24.1.АЧ690003000</t>
  </si>
  <si>
    <t>Уникальный номер регионального или общероссийского перечня государственных услуг (работ): 910200О.99.0.ББ69АА00000</t>
  </si>
  <si>
    <t>Уникальный номер регионального или общероссийского перечня государственных услуг (работ):  590000.Р.24.1.АГ650002000</t>
  </si>
  <si>
    <t>Уникальный номер регионального или общероссийского перечня государственных услуг (работ):    802112О.99.0.ББ55АА24000
802112О.99.0.ББ55АБ36000
802112О.99.0.ББ55АГ04000
802112О.99.0.ББ55АБ92000</t>
  </si>
  <si>
    <t>Уникальный номер регионального или общероссийского перечня государственных услуг (работ):     852101О.99.0.ББ28ХЕ92000
852101О.99.0ББ28ХН40000
852101О.99.0ББ28ХП56000
852101О.99.0ББ28ХШ20000
852101О.99.0ББ28ХЭ36000
852101О.99.0ББ28ЦГ84000
852101О.99.0.ББ28ХЖ16000
852101О.99.0ББ28ХН64000
852101О.99.0ББ28ХЩ16000
852101О.99.0ББ28ХЭ60000
852101О.99.0ББ28ЦД08000</t>
  </si>
  <si>
    <t>Уникальный номер регионального или общероссийского перечня государственных услуг (работ): 700000О.99.0.АЯ03АА01005</t>
  </si>
  <si>
    <t>Уникальный номер регионального или общероссийского перечня государственных услуг (работ):                                                   900211.Р.24.1.АВ620003000
900410.Р.24.1.АВ620003000</t>
  </si>
  <si>
    <t>Уникальный номер регионального или общероссийского перечня государственных услуг (работ):      900211.Р.24.1.АВ610006000
 900410.Р.24.1.АВ610010000
 900410.Р.24.1.АВ610005000
 900410.Р.24.1.АВ610006000</t>
  </si>
  <si>
    <t>Уникальный номер регионального или общероссийского перечня государственных услуг (работ): 
910000.Р.24.1.АГ050002000</t>
  </si>
  <si>
    <t>Уникальный номер регионального или общероссийского перечня государственных услуг (работ): 
900410.Р.24.1.АГ610003000</t>
  </si>
  <si>
    <t>Уникальный номер регионального или общероссийского перечня государственных услуг (работ): 750000.Р.24.0.АЦ440017000</t>
  </si>
  <si>
    <t>Уникальный номер регионального или общероссийского перечня государственных услуг (работ): 750000.Р.24.0.АЦ440016000</t>
  </si>
  <si>
    <t>Уникальный номер регионального или общероссийского перечня государственных услуг (работ): 750000.Р.24.0.АЦ440007000</t>
  </si>
  <si>
    <t>Уникальный номер регионального или общероссийского перечня государственных услуг (работ): 750000.Р.24.0.АЦ440009000</t>
  </si>
  <si>
    <t>Уникальный номер регионального или общероссийского перечня государственных услуг (работ): 750000.Р.24.0.АЦ440010000</t>
  </si>
  <si>
    <t>Уникальный номер регионального или общероссийского перечня государственных услуг (работ): 750000.Р.24.0.АЦ440005000</t>
  </si>
  <si>
    <t>Уникальный номер регионального или общероссийского перечня государственных услуг (работ): 750000.Р.24.0.АЦ440014000</t>
  </si>
  <si>
    <t>Уникальный номер регионального или общероссийского перечня государственных услуг (работ): 750000.Р.24.0.АЦ440015000</t>
  </si>
  <si>
    <t>Уникальный номер регионального или общероссийского перечня государственных услуг (работ): 750000.Р.24.0.АЦ440018000</t>
  </si>
  <si>
    <t>Уникальный номер регионального или общероссийского перечня государственных услуг (работ): 750000.Р.24.0.АЦ440004000</t>
  </si>
  <si>
    <t>Уникальный номер регионального или общероссийского перечня государственных услуг (работ): 750000.Р.24.0.АЦ440006000</t>
  </si>
  <si>
    <t>Уникальный номер регионального или общероссийского перечня государственных услуг (работ): 750000.Р.24.0.АЦ470007000</t>
  </si>
  <si>
    <t>Уникальный номер регионального или общероссийского перечня государственных услуг (работ): 750000.Р.24.0.АЦ470008000</t>
  </si>
  <si>
    <t>Уникальный номер регионального или общероссийского перечня государственных услуг (работ): 750000.Р.24.0.АЦ470009000</t>
  </si>
  <si>
    <t>Уникальный номер регионального или общероссийского перечня государственных услуг (работ): 750000.Р.24.0.АЦ460003000</t>
  </si>
  <si>
    <t>Уникальный номер регионального или общероссийского перечня государственных услуг (работ): 750000.Р.24.0.АЦ460002000</t>
  </si>
  <si>
    <t>Уникальный номер регионального или общероссийского перечня государственных услуг (работ):  024010.Р.24.1.АВ280006001</t>
  </si>
  <si>
    <t>Уникальный номер регионального или общероссийского перечня государственных услуг (работ): 024010.Р.24.1.АВ280007001</t>
  </si>
  <si>
    <t>Уникальный номер регионального или общероссийского перечня государственных услуг (работ): 024010.Р.24.1.АВ280016001</t>
  </si>
  <si>
    <t>Уникальный номер регионального или общероссийского перечня государственных услуг (работ): 024010.Р.24.1.АВ280030001</t>
  </si>
  <si>
    <t>Уникальный номер регионального или общероссийского перечня государственных услуг (работ):  024010.Р.24.1.АВ280008001</t>
  </si>
  <si>
    <t>Уникальный номер регионального или общероссийского перечня государственных услуг (работ): 024010.Р.24.1.АВ280021002</t>
  </si>
  <si>
    <t>Уникальный номер регионального или общероссийского перечня государственных услуг (работ): 024010.Р.24.1.АВ280022002</t>
  </si>
  <si>
    <t>Уникальный номер регионального или общероссийского перечня государственных услуг (работ): 024010.Р.24.1.АВ280023002</t>
  </si>
  <si>
    <t>Уникальный номер регионального или общероссийского перечня государственных услуг (работ):  024010.Р.24.1.АБ770002000</t>
  </si>
  <si>
    <t>Уникальный номер регионального или общероссийского перечня государственных услуг (работ):  024010.Р.24.1.АВ280034001</t>
  </si>
  <si>
    <t>Уникальный номер регионального или общероссийского перечня государственных услуг (работ): 024010.Р.24.1.АВ280042001</t>
  </si>
  <si>
    <t>Уникальный номер регионального или общероссийского перечня государственных услуг (работ): и 024010.Р.24.1.АВ280042001</t>
  </si>
  <si>
    <t>Уникальный номер регионального или общероссийского перечня государственных услуг (работ): 024010.Р.24.1.АВ330007000</t>
  </si>
  <si>
    <t>Уникальный номер регионального или общероссийского перечня государственных услуг (работ): 
024010.Р.24.1.АВ280009001</t>
  </si>
  <si>
    <t>Уникальный номер регионального или общероссийского перечня государственных услуг (работ): 
024010.Р.24.1.АВ280025001</t>
  </si>
  <si>
    <t>Уникальный номер регионального или общероссийского перечня государственных услуг (работ): 
024010.Р.24.1.АВ300003000</t>
  </si>
  <si>
    <t>Уникальный номер регионального или общероссийского перечня государственных услуг (работ):
024010.Р.24.1.АВ300003000</t>
  </si>
  <si>
    <t>Уникальный номер регионального или общероссийского перечня государственных услуг (работ): 
024010.Р.24.1.АВ340005001</t>
  </si>
  <si>
    <t>Уникальный номер регионального или общероссийского перечня государственных услуг (работ): 
024010.Р.24.1.АВ340006001</t>
  </si>
  <si>
    <t>Уникальный номер регионального или общероссийского перечня государственных услуг (работ):
024010.Р.24.1.АВ340007001</t>
  </si>
  <si>
    <t>Уникальный номер регионального или общероссийского перечня государственных услуг (работ): 
024010.Р.24.1.АБ760009000</t>
  </si>
  <si>
    <t>Уникальный номер регионального или общероссийского перечня государственных услуг (работ): 
024010.Р.24.1.АБ760003000</t>
  </si>
  <si>
    <t>Уникальный номер регионального или общероссийского перечня государственных услуг (работ): 
024010.Р.24.1.АБ760008000</t>
  </si>
  <si>
    <t>Уникальный номер регионального или общероссийского перечня государственных услуг (работ): 
024010.Р.24.1.АВ340012001</t>
  </si>
  <si>
    <t>Уникальный номер регионального или общероссийского перечня государственных услуг (работ): 
024010.Р.24.1.АВ280042001</t>
  </si>
  <si>
    <t>Уникальный номер регионального или общероссийского перечня государственных услуг (работ): 
024010.Р.24.1.АВ280027001</t>
  </si>
  <si>
    <t>Уникальный номер регионального или общероссийского перечня государственных услуг (работ): 
721100.Р.24.1.АА740002000</t>
  </si>
  <si>
    <t>Уникальный номер регионального или общероссийского перечня государственных услуг (работ): 
910400.Р.24.1.АВ140005000</t>
  </si>
  <si>
    <t>Уникальный номер регионального или общероссийского перечня государственных услуг (работ): 
910400.Р.24.1.АВ140007000</t>
  </si>
  <si>
    <t>Уникальный номер регионального или общероссийского перечня государственных услуг (работ): 910400.Р.24.1.АВ140007000</t>
  </si>
  <si>
    <t>Уникальный номер регионального или общероссийского перечня государственных услуг (работ): 
910400.Р.24.1.АВ160004000</t>
  </si>
  <si>
    <t>Уникальный номер регионального или общероссийского перечня государственных услуг (работ): 
910400.Р.24.1.АВ160003000</t>
  </si>
  <si>
    <t>Уникальный номер регионального или общероссийского перечня государственных услуг (работ): 
910412.Р.24.1.АВ170004000</t>
  </si>
  <si>
    <t>Уникальный номер регионального или общероссийского перечня государственных услуг (работ): 
910412.Р.24.1.АВ170002000</t>
  </si>
  <si>
    <t>Уникальный номер регионального или общероссийского перечня государственных услуг (работ): 
024010.Р.24.1.АВ300004000</t>
  </si>
  <si>
    <t>Уникальный номер регионального или общероссийского перечня государственных услуг (работ): 
910400.Р.24.1.АВ210002000</t>
  </si>
  <si>
    <t>Уникальный номер регионального или общероссийского перечня государственных услуг (работ): 
024010.Р.24.1.АВ280034001</t>
  </si>
  <si>
    <t>Уникальный номер регионального или общероссийского перечня государственных услуг (работ): 
910412.Р.24.1.АВ170003000</t>
  </si>
  <si>
    <t>Уникальный номер регионального или общероссийского перечня государственных услуг (работ): 
631100.Р.24.1.АЖ460006002</t>
  </si>
  <si>
    <t>Уникальный номер регионального или общероссийского перечня государственных услуг (работ):
631111.Р.24.1.АЖ460001000</t>
  </si>
  <si>
    <t>Уникальный номер регионального или общероссийского перечня государственных услуг (работ): 
631111.Р.24.1.АЖ460001000</t>
  </si>
  <si>
    <t>Уникальный номер регионального или общероссийского перечня государственных услуг (работ):
749019.Р.24.1.АВ270004000</t>
  </si>
  <si>
    <t>Уникальный номер регионального или общероссийского перечня государственных услуг (работ): 
749019.Р.24.1.АВ270004000</t>
  </si>
  <si>
    <t>Уникальный номер регионального или общероссийского перечня государственных услуг (работ): 852101О.99.0.ББ29КЦ12000</t>
  </si>
  <si>
    <t>Уникальный номер регионального или общероссийского перечня государственных услуг (работ): 852101О.99.0.ББ29КЧ56000</t>
  </si>
  <si>
    <t>Уникальный номер регионального или общероссийского перечня государственных услуг (работ): 852101О.99.0.ББ29РБ45000</t>
  </si>
  <si>
    <t>Уникальный номер регионального или общероссийского перечня государственных услуг (работ): 852101О.99.0.ББ29КЮ88000</t>
  </si>
  <si>
    <t>Уникальный номер регионального или общероссийского перечня государственных услуг (работ): 852101О.99.0.ББ29ЛА32000</t>
  </si>
  <si>
    <t>Уникальный номер регионального или общероссийского перечня государственных услуг (работ): 852101О.99.0.ББ29БП72000</t>
  </si>
  <si>
    <t>Уникальный номер регионального или общероссийского перечня государственных услуг (работ): 852101О.99.0.ББ29ПН16000</t>
  </si>
  <si>
    <t>Уникальный номер регионального или общероссийского перечня государственных услуг (работ): 852101О.99.0.ББ29ЗФ52000</t>
  </si>
  <si>
    <t>Уникальный номер регионального или общероссийского перечня государственных услуг (работ): 852101О.99.0.ББ29ТД48002</t>
  </si>
  <si>
    <t>Уникальный номер регионального или общероссийского перечня государственных услуг (работ): 852101О.99.0.ББ29ТД64002</t>
  </si>
  <si>
    <t>Уникальный номер регионального или общероссийского перечня государственных услуг (работ): 852101О.99.0.ББ29ГЧ08000</t>
  </si>
  <si>
    <t>Уникальный номер регионального или общероссийского перечня государственных услуг (работ): 852101О.99.0.ББ29МП08000</t>
  </si>
  <si>
    <t>Уникальный номер регионального или общероссийского перечня государственных услуг (работ): 852101О.99.0.ББ29ББ76000</t>
  </si>
  <si>
    <t>Уникальный номер регионального или общероссийского перечня государственных услуг (работ): 852101О.99.0.ББ29АМ04000</t>
  </si>
  <si>
    <t>Уникальный номер регионального или общероссийского перечня государственных услуг (работ): 852101О.99.0.ББ29БЯ68000</t>
  </si>
  <si>
    <t>Уникальный номер регионального или общероссийского перечня государственных услуг (работ): 852101О.99.0.ББ29ПО60000</t>
  </si>
  <si>
    <t>Уникальный номер регионального или общероссийского перечня государственных услуг (работ): 852101О.99.0.ББ29ПО76000</t>
  </si>
  <si>
    <t>Уникальный номер регионального или общероссийского перечня государственных услуг (работ): 804200О.99.0.ББ65АБ01000</t>
  </si>
  <si>
    <t>Уникальный номер регионального или общероссийского перечня государственных услуг (работ): 804200О.99.0.ББ65АА01000</t>
  </si>
  <si>
    <t>Уникальный номер регионального или общероссийского перечня государственных услуг (работ): 852101О.99.0.ББ29КН48000</t>
  </si>
  <si>
    <t>Уникальный номер регионального или общероссийского перечня государственных услуг (работ): 852101О.99.0.ББ29ДЩ32000</t>
  </si>
  <si>
    <t>Уникальный номер регионального или общероссийского перечня государственных услуг (работ): 852101О.99.0.ББ29ИЯ52000</t>
  </si>
  <si>
    <t>Уникальный номер регионального или общероссийского перечня государственных услуг (работ): 852101О.99.0.ББ29АР36000</t>
  </si>
  <si>
    <t>Уникальный номер регионального или общероссийского перечня государственных услуг (работ): 852101О.99.0.ББ29ТГ04002</t>
  </si>
  <si>
    <t>Уникальный номер регионального или общероссийского перечня государственных услуг (работ): 852101О.99.0.ББ29ГЗ68000</t>
  </si>
  <si>
    <t>Уникальный номер регионального или общероссийского перечня государственных услуг (работ): 852101О.99.0.ББ29ОП24000</t>
  </si>
  <si>
    <t>Уникальный номер регионального или общероссийского перечня государственных услуг (работ): 852101О.99.0.ББ29ОР68000</t>
  </si>
  <si>
    <t>Уникальный номер регионального или общероссийского перечня государственных услуг (работ): 852101О.99.0.ББ29ЕВ08000</t>
  </si>
  <si>
    <t>Уникальный номер регионального или общероссийского перечня государственных услуг (работ): 852101О.99.0.ББ29КФ68000</t>
  </si>
  <si>
    <t>Уникальный номер регионального или общероссийского перечня государственных услуг (работ): 852101О.99.0.ББ29ВЭ76000</t>
  </si>
  <si>
    <t>Уникальный номер регионального или общероссийского перечня государственных услуг (работ): 852101О.99.0.ББ29ДР68000</t>
  </si>
  <si>
    <t>Уникальный номер регионального или общероссийского перечня государственных услуг (работ): 852101О.99.0.ББ29КС80000</t>
  </si>
  <si>
    <t>Уникальный номер регионального или общероссийского перечня государственных услуг (работ): 852101О.99.0.ББ28ЛЛ88000</t>
  </si>
  <si>
    <t>Уникальный номер регионального или общероссийского перечня государственных услуг (работ): 852101О.99.0.ББ28ЗТ12000</t>
  </si>
  <si>
    <t>Уникальный номер регионального или общероссийского перечня государственных услуг (работ): 852101О.99.0.ББ28ЗТ52000</t>
  </si>
  <si>
    <t>Уникальный номер регионального или общероссийского перечня государственных услуг (работ): 852101О.99.0.ББ28ЛТ36000</t>
  </si>
  <si>
    <t>Уникальный номер регионального или общероссийского перечня государственных услуг (работ): 852101О.99.0.ББ28ЛР20000</t>
  </si>
  <si>
    <t>Уникальный номер регионального или общероссийского перечня государственных услуг (работ): 852101О.99.0.ББ28ЛР60000</t>
  </si>
  <si>
    <t>Уникальный номер регионального или общероссийского перечня государственных услуг (работ): 852101О.99.0.ББ28ШГ28002</t>
  </si>
  <si>
    <t>Уникальный номер регионального или общероссийского перечня государственных услуг (работ): 852101О.99.0.ББ28БЕ84000</t>
  </si>
  <si>
    <t>Уникальный номер регионального или общероссийского перечня государственных услуг (работ): 852101О.99.0.ББ28БЕ12000</t>
  </si>
  <si>
    <t>Уникальный номер регионального или общероссийского перечня государственных услуг (работ): 852101О.99.0.ББ28ЕЛ48000</t>
  </si>
  <si>
    <t>Уникальный номер регионального или общероссийского перечня государственных услуг (работ): 852101О.99.0.ББ29ЗР20000</t>
  </si>
  <si>
    <t>Уникальный номер регионального или общероссийского перечня государственных услуг (работ): 852101О.99.0.ББ29ПЧ40000</t>
  </si>
  <si>
    <t>Уникальный номер регионального или общероссийского перечня государственных услуг (работ): 852101О.99.0.ББ28РЩ24000</t>
  </si>
  <si>
    <t>Уникальный номер регионального или общероссийского перечня государственных услуг (работ): 852101О.99.0.ББ28РЮ80000</t>
  </si>
  <si>
    <t>Уникальный номер регионального или общероссийского перечня государственных услуг (работ): 852101О.99.0.ББ28БП48000</t>
  </si>
  <si>
    <t>Уникальный номер регионального или общероссийского перечня государственных услуг (работ): 852101О.99.0.ББ28БУ80000</t>
  </si>
  <si>
    <t>Уникальный номер регионального или общероссийского перечня государственных услуг (работ): 852101О.99.0.ББ28ЦЮ88002</t>
  </si>
  <si>
    <t>Уникальный номер регионального или общероссийского перечня государственных услуг (работ): 852101О.99.0.ББ28ЦЩ72002</t>
  </si>
  <si>
    <t>Уникальный номер регионального или общероссийского перечня государственных услуг (работ): 852101О.99.0.ББ28КЛ80000</t>
  </si>
  <si>
    <t>Уникальный номер регионального или общероссийского перечня государственных услуг (работ): 852101О.99.0.ББ28КМ04000</t>
  </si>
  <si>
    <t>Уникальный номер регионального или общероссийского перечня государственных услуг (работ): 852101О.99.0.ББ28КМ20000</t>
  </si>
  <si>
    <t>Уникальный номер регионального или общероссийского перечня государственных услуг (работ): 852101О.99.0.ББ28КР12000</t>
  </si>
  <si>
    <t>Уникальный номер регионального или общероссийского перечня государственных услуг (работ): 852101О.99.0.ББ28КР52000</t>
  </si>
  <si>
    <t>Уникальный номер регионального или общероссийского перечня государственных услуг (работ): 852101О.99.0.ББ28КТ28000</t>
  </si>
  <si>
    <t>Уникальный номер регионального или общероссийского перечня государственных услуг (работ): 852101О.99.0.ББ28КТ44000</t>
  </si>
  <si>
    <t>Уникальный номер регионального или общероссийского перечня государственных услуг (работ): 852101О.99.0.ББ28КТ52000</t>
  </si>
  <si>
    <t>Уникальный номер регионального или общероссийского перечня государственных услуг (работ): 852101О.99.0.ББ28ДЭ52000</t>
  </si>
  <si>
    <t>Уникальный номер регионального или общероссийского перечня государственных услуг (работ): 852101О.99.0.ББ28ДЭ68000</t>
  </si>
  <si>
    <t>Уникальный номер регионального или общероссийского перечня государственных услуг (работ): 852101О.99.0.ББ28КЖ48000</t>
  </si>
  <si>
    <t>Уникальный номер регионального или общероссийского перечня государственных услуг (работ): 852101О.99.0.ББ28КИ64000</t>
  </si>
  <si>
    <t>Уникальный номер регионального или общероссийского перечня государственных услуг (работ): 852101О.99.0.ББ28КИ88000</t>
  </si>
  <si>
    <t>Уникальный номер регионального или общероссийского перечня государственных услуг (работ): 852101О.99.0.ББ28КК04000</t>
  </si>
  <si>
    <t>Уникальный номер регионального или общероссийского перечня государственных услуг (работ): 852101О.99.0.ББ28ЗЮ00000</t>
  </si>
  <si>
    <t>Уникальный номер регионального или общероссийского перечня государственных услуг (работ): 852101О.99.0.ББ28УУ00000</t>
  </si>
  <si>
    <t>Уникальный номер регионального или общероссийского перечня государственных услуг (работ): 852101О.99.0.ББ28УУ40000</t>
  </si>
  <si>
    <t>Уникальный номер регионального или общероссийского перечня государственных услуг (работ): 852101О.99.0.ББ28ЗЦ44000</t>
  </si>
  <si>
    <t>Уникальный номер регионального или общероссийского перечня государственных услуг (работ): 852101О.99.0.ББ28ЗЦ84000</t>
  </si>
  <si>
    <t>Уникальный номер регионального или общероссийского перечня государственных услуг (работ): 852101О.99.0.ББ28ХЩ64000</t>
  </si>
  <si>
    <t>Уникальный номер регионального или общероссийского перечня государственных услуг (работ):
852101О.99.0.ББ28ИФ36000</t>
  </si>
  <si>
    <t>Уникальный номер регионального или общероссийского перечня государственных услуг (работ):
852101О.99.0.ББ28ИФ76000</t>
  </si>
  <si>
    <t>Уникальный номер регионального или общероссийского перечня государственных услуг (работ):
852101О.99.0.ББ28ШЯ04002</t>
  </si>
  <si>
    <t>Уникальный номер регионального или общероссийского перечня государственных услуг (работ):
852101О.99.0.ББ28РУ48000</t>
  </si>
  <si>
    <t>Уникальный номер регионального или общероссийского перечня государственных услуг (работ):
852101О.99.0.ББ28РФ92000</t>
  </si>
  <si>
    <t>Уникальный номер регионального или общероссийского перечня государственных услуг (работ):
852101О.99.0.ББ28РХ32000</t>
  </si>
  <si>
    <t>Уникальный номер регионального или общероссийского перечня государственных услуг (работ):
852101О.99.0.ББ28РА48000</t>
  </si>
  <si>
    <t>Уникальный номер регионального или общероссийского перечня государственных услуг (работ):
852101О.99.0.ББ28РА88000</t>
  </si>
  <si>
    <t>Уникальный номер регионального или общероссийского перечня государственных услуг (работ):
852101О.99.0.ББ28БС64000</t>
  </si>
  <si>
    <t>Уникальный номер регионального или общероссийского перечня государственных услуг (работ):
852101О.99.0.ББ28БС88000</t>
  </si>
  <si>
    <t>Уникальный номер регионального или общероссийского перечня государственных услуг (работ):
852101О.99.0.ББ28ПЧ00000</t>
  </si>
  <si>
    <t>Уникальный номер регионального или общероссийского перечня государственных услуг (работ):
852101О.99.0.ББ28ПЧ40000</t>
  </si>
  <si>
    <t>Уникальный номер регионального или общероссийского перечня государственных услуг (работ):
852101О.99.0.ББ28РЧ48000</t>
  </si>
  <si>
    <t>Уникальный номер регионального или общероссийского перечня государственных услуг (работ):
852101О.99.0.ББ28ЗЖ32000</t>
  </si>
  <si>
    <t>Уникальный номер регионального или общероссийского перечня государственных услуг (работ):
852101О.99.0.ББ28ЗЖ72000</t>
  </si>
  <si>
    <t>Уникальный номер регионального или общероссийского перечня государственных услуг (работ):
852101О.99.0.ББ28ЗП96000</t>
  </si>
  <si>
    <t>Уникальный номер регионального или общероссийского перечня государственных услуг (работ):
852101О.99.0.ББ28ЗР60000</t>
  </si>
  <si>
    <t>Уникальный номер регионального или общероссийского перечня государственных услуг (работ):
852101О.99.0.ББ28РР60000</t>
  </si>
  <si>
    <t>Уникальный номер регионального или общероссийского перечня государственных услуг (работ):
852101О.99.0.ББ29НЩ96000</t>
  </si>
  <si>
    <t>Уникальный номер регионального или общероссийского перечня государственных услуг (работ):
852101О.99.0.ББ29ПД96000</t>
  </si>
  <si>
    <t>Уникальный номер регионального или общероссийского перечня государственных услуг (работ):
804200О.99.0.ББ65АА01000</t>
  </si>
  <si>
    <t>Уникальный номер регионального или общероссийского перечня государственных услуг (работ):
852101О.99.0.ББ28УЗ20000</t>
  </si>
  <si>
    <t>Уникальный номер регионального или общероссийского перечня государственных услуг (работ):
852101О.99.0.ББ28УЗ60000</t>
  </si>
  <si>
    <t>Уникальный номер регионального или общероссийского перечня государственных услуг (работ):
852101О.99.0.ББ28УЗ62000</t>
  </si>
  <si>
    <t>Уникальный номер регионального или общероссийского перечня государственных услуг (работ):
852101О.99.0.ББ28УО68000</t>
  </si>
  <si>
    <t>Уникальный номер регионального или общероссийского перечня государственных услуг (работ):
852101О.99.0.ББ28ЦЗ44000</t>
  </si>
  <si>
    <t>Уникальный номер регионального или общероссийского перечня государственных услуг (работ):
852101О.99.0.ББ28УК36000</t>
  </si>
  <si>
    <t>Уникальный номер регионального или общероссийского перечня государственных услуг (работ):
852101О.99.0.ББ28УК60000</t>
  </si>
  <si>
    <t>Уникальный номер регионального или общероссийского перечня государственных услуг (работ):
852101О.99.0.ББ28ДИ24000</t>
  </si>
  <si>
    <t>Уникальный номер регионального или общероссийского перечня государственных услуг (работ):
852101О.99.0.ББ28ДИ64000</t>
  </si>
  <si>
    <t>Уникальный номер регионального или общероссийского перечня государственных услуг (работ):
852101О.99.0.ББ28ПО36000</t>
  </si>
  <si>
    <t>Уникальный номер регионального или общероссийского перечня государственных услуг (работ):
852101О.99.0.ББ28ПО76000</t>
  </si>
  <si>
    <t>Уникальный номер регионального или общероссийского перечня государственных услуг (работ):
852101О.99.0.ББ28ПТ68000</t>
  </si>
  <si>
    <t>Уникальный номер регионального или общероссийского перечня государственных услуг (работ):
852101О.99.0.ББ28РК12000</t>
  </si>
  <si>
    <t>Уникальный номер регионального или общероссийского перечня государственных услуг (работ):
852101О.99.0.ББ28УЮ64000</t>
  </si>
  <si>
    <t>Уникальный номер регионального или общероссийского перечня государственных услуг (работ):
852101О.99.0.ББ28ДП96000</t>
  </si>
  <si>
    <t>Уникальный номер регионального или общероссийского перечня государственных услуг (работ):
852101О.99.0.ББ28ИШ92000</t>
  </si>
  <si>
    <t>Уникальный номер регионального или общероссийского перечня государственных услуг (работ):
852101О.99.0.ББ28СА80000</t>
  </si>
  <si>
    <t>Уникальный номер регионального или общероссийского перечня государственных услуг (работ):
852101О.99.0.ББ28ДЖ08000</t>
  </si>
  <si>
    <t>Уникальный номер регионального или общероссийского перечня государственных услуг (работ):
852101О.99.0.ББ28ДЖ48000</t>
  </si>
  <si>
    <t>Уникальный номер регионального или общероссийского перечня государственных услуг (работ):
804200О.99.0.ББ65АБ01000</t>
  </si>
  <si>
    <t>Уникальный номер регионального или общероссийского перечня государственных услуг (работ):
852101О.99.0.ББ28АН24000</t>
  </si>
  <si>
    <t>Уникальный номер регионального или общероссийского перечня государственных услуг (работ):
852101О.99.0.ББ28АС56000</t>
  </si>
  <si>
    <t>Уникальный номер регионального или общероссийского перечня государственных услуг (работ):
852101О.99.0.ББ28АС80000</t>
  </si>
  <si>
    <t>Уникальный номер регионального или общероссийского перечня государственных услуг (работ):
852101О.99.0.ББ28АЭ20000</t>
  </si>
  <si>
    <t>Уникальный номер регионального или общероссийского перечня государственных услуг (работ):
852101О.99.0.ББ28ББ52000</t>
  </si>
  <si>
    <t>Уникальный номер регионального или общероссийского перечня государственных услуг (работ):
852101О.99.0.ББ28БЛ16000</t>
  </si>
  <si>
    <t>Уникальный номер регионального или общероссийского перечня государственных услуг (работ):
852101О.99.0.ББ28ИТ20000</t>
  </si>
  <si>
    <t>Уникальный номер регионального или общероссийского перечня государственных услуг (работ):
852101О.99.0.ББ28ИТ60000</t>
  </si>
  <si>
    <t>Уникальный номер регионального или общероссийского перечня государственных услуг (работ):
852101О.99.0.ББ28ЧЕ60002</t>
  </si>
  <si>
    <t>Уникальный номер регионального или общероссийского перечня государственных услуг (работ):
852101О.99.0.ББ29АН48000</t>
  </si>
  <si>
    <t>Уникальный номер регионального или общероссийского перечня государственных услуг (работ):
852101О.99.0.ББ29АО92000</t>
  </si>
  <si>
    <t>Уникальный номер регионального или общероссийского перечня государственных услуг (работ):
852101О.99.0.ББ29АУ24000</t>
  </si>
  <si>
    <t>Уникальный номер регионального или общероссийского перечня государственных услуг (работ):
852101О.99.0.ББ29БШ36000</t>
  </si>
  <si>
    <t>Уникальный номер регионального или общероссийского перечня государственных услуг (работ):
 852101О.99.0.ББ28ШС96002</t>
  </si>
  <si>
    <t>Уникальный номер регионального или общероссийского перечня государственных услуг (работ):
852101О.99.0.ББ28ХГ04000</t>
  </si>
  <si>
    <t>Уникальный номер регионального или общероссийского перечня государственных услуг (работ):
852101О.99.0.ББ28УР84000</t>
  </si>
  <si>
    <t>Уникальный номер регионального или общероссийского перечня государственных услуг (работ):
852101О.99.0.ББ28УМ52000</t>
  </si>
  <si>
    <t>Уникальный номер регионального или общероссийского перечня государственных услуг (работ):
852101О.99.0.ББ28НО20000</t>
  </si>
  <si>
    <t>Уникальный номер регионального или общероссийского перечня государственных услуг (работ):
852101О.99.0.ББ28НО60000</t>
  </si>
  <si>
    <t>Уникальный номер регионального или общероссийского перечня государственных услуг (работ):
852101О.99.0.ББ28ЕШ44000</t>
  </si>
  <si>
    <t>Уникальный номер регионального или общероссийского перечня государственных услуг (работ):
852101О.99.0.ББ29ИЗ36000</t>
  </si>
  <si>
    <t>Уникальный номер регионального или общероссийского перечня государственных услуг (работ):
852101О.99.0.ББ29ДЧ88000</t>
  </si>
  <si>
    <t>Уникальный номер регионального или общероссийского перечня государственных услуг (работ):
852101О.99.0.ББ29ИУ88000</t>
  </si>
  <si>
    <t>Уникальный номер регионального или общероссийского перечня государственных услуг (работ):
852101О.99.0.ББ28СС08000</t>
  </si>
  <si>
    <t>Уникальный номер регионального или общероссийского перечня государственных услуг (работ):
852101О.99.0.ББ28СУ24000</t>
  </si>
  <si>
    <t>Уникальный номер регионального или общероссийского перечня государственных услуг (работ):
860000О.99.0.АД58АА02002</t>
  </si>
  <si>
    <t>Уникальный номер регионального или общероссийского перечня государственных услуг (работ):
920700О.99.0.АЗ22АА00001</t>
  </si>
  <si>
    <t>Уникальный номер регионального или общероссийского перечня государственных услуг (работ):
853100О.99.0.БА64АА00000</t>
  </si>
  <si>
    <t>Уникальный номер регионального или общероссийского перечня государственных услуг (работ):
552315О.99.0.БА83АА12000</t>
  </si>
  <si>
    <t>Уникальный номер регионального или общероссийского перечня государственных услуг (работ):
559019О.99.0.БА97АА03000</t>
  </si>
  <si>
    <t>Уникальный номер регионального или общероссийского перечня государственных услуг (работ):
559019О.99.0.ББ12АА03000</t>
  </si>
  <si>
    <t>Уникальный номер регионального или общероссийского перечня государственных услуг (работ):
801012О.99.0.БА82АЛ78001</t>
  </si>
  <si>
    <t>Уникальный номер регионального или общероссийского перечня государственных услуг (работ):
801012О.99.0.БА82АН32001</t>
  </si>
  <si>
    <t>Уникальный номер регионального или общероссийского перечня государственных услуг (работ):
801012О.99.0.БА90АА00000</t>
  </si>
  <si>
    <t>Уникальный номер регионального или общероссийского перечня государственных услуг (работ):
802111О.99.0.БА96АА00001</t>
  </si>
  <si>
    <t>Уникальный номер регионального или общероссийского перечня государственных услуг (работ):
802111О.99.0.БА96АБ63001</t>
  </si>
  <si>
    <t>Уникальный номер регионального или общероссийского перечня государственных услуг (работ):
560200О.99.0.БА89АА00000</t>
  </si>
  <si>
    <t>Уникальный номер регионального или общероссийского перечня государственных услуг (работ):
560200О.99.0.ББ03АА00000</t>
  </si>
  <si>
    <t>Уникальный номер регионального или общероссийского перечня государственных услуг (работ):
880900О.99.0.БА86АА01000</t>
  </si>
  <si>
    <t>Уникальный номер регионального или общероссийского перечня государственных услуг (работ):
801011О.99.0.БВ24АК60000</t>
  </si>
  <si>
    <t>Уникальный номер регионального или общероссийского перечня государственных услуг (работ):
804200О.99.0.ББ52АЕ04000</t>
  </si>
  <si>
    <t>Уникальный номер регионального или общероссийского перечня государственных услуг (работ):
804200О.99.0.ББ52АЖ48000</t>
  </si>
  <si>
    <t>Уникальный номер регионального или общероссийского перечня государственных услуг (работ):
880900О.99.0.БА84АА02000</t>
  </si>
  <si>
    <t>Уникальный номер регионального или общероссийского перечня государственных услуг (работ):
880900О.99.0.БА85АА02000</t>
  </si>
  <si>
    <t>Уникальный номер регионального или общероссийского перечня государственных услуг (работ):
880900О.99.0.БА86АА02000</t>
  </si>
  <si>
    <t>Уникальный номер регионального или общероссийского перечня государственных услуг (работ):
802111О.99.0.БА96АА04001</t>
  </si>
  <si>
    <t>Уникальный номер регионального или общероссийского перечня государственных услуг (работ):
802112О.99.0.ББ11АБ50001</t>
  </si>
  <si>
    <t>Уникальный номер регионального или общероссийского перечня государственных услуг (работ):
802112О.99.0.ББ11АЮ58001</t>
  </si>
  <si>
    <t>Уникальный номер регионального или общероссийского перечня государственных услуг (работ):
853212О.99.0.БВ20АА02001</t>
  </si>
  <si>
    <t>Уникальный номер регионального или общероссийского перечня государственных услуг (работ):
880900О.99.0.БА98АА02000</t>
  </si>
  <si>
    <t>Уникальный номер регионального или общероссийского перечня государственных услуг (работ):
880900О.99.0.ББ13АА02000</t>
  </si>
  <si>
    <t>Уникальный номер регионального или общероссийского перечня государственных услуг (работ):
880900О.99.0.ББ14АА02000</t>
  </si>
  <si>
    <t>Уникальный номер регионального или общероссийского перечня государственных услуг (работ):
853212О.99.0.БВ21АА02003</t>
  </si>
  <si>
    <t>Уникальный номер регионального или общероссийского перечня государственных услуг (работ):
880900О.99.0.БА99АА02000</t>
  </si>
  <si>
    <t>Уникальный номер регионального или общероссийского перечня государственных услуг (работ):
853212О.99.0.БВ22АА02001</t>
  </si>
  <si>
    <t>Уникальный номер регионального или общероссийского перечня государственных услуг (работ):
880900О.99.0.ББ00АА02000</t>
  </si>
  <si>
    <t>Уникальный номер регионального или общероссийского перечня государственных услуг (работ):
853211О.99.0.БВ19АГ29000</t>
  </si>
  <si>
    <t>Уникальный номер регионального или общероссийского перечня государственных услуг (работ):
853211О.99.0.БВ19АГ35000</t>
  </si>
  <si>
    <t>Уникальный номер регионального или общероссийского перечня государственных услуг (работ):
850000.Р.24.1.БВ010002000</t>
  </si>
  <si>
    <t>Уникальный номер регионального или общероссийского перечня государственных услуг (работ):
860000О.99.0.АД57АА31002</t>
  </si>
  <si>
    <t>Уникальный номер регионального или общероссийского перечня государственных услуг (работ):
880900О.99.0.БА85АА00000</t>
  </si>
  <si>
    <t xml:space="preserve">Уникальный номер регионального или общероссийского перечня государственных услуг (работ):
880900О.99.0.БА99АА00000 </t>
  </si>
  <si>
    <t xml:space="preserve">Уникальный номер регионального или общероссийского перечня государственных услуг (работ):
880900О.99.0.ББ14АА00000 </t>
  </si>
  <si>
    <t>Уникальный номер регионального или общероссийского перечня государственных услуг (работ):
801012О.99.0.ББ54АБ28000</t>
  </si>
  <si>
    <t>Уникальный номер регионального или общероссийского перечня государственных услуг (работ):
801012О.99.0.ББ54АБ36000</t>
  </si>
  <si>
    <t>Уникальный номер регионального или общероссийского перечня государственных услуг (работ):
801012О.99.0.ББ54АБ44000</t>
  </si>
  <si>
    <t>Уникальный номер регионального или общероссийского перечня государственных услуг (работ):
804200О.99.0.ББ52АЖ24000</t>
  </si>
  <si>
    <t>Уникальный номер регионального или общероссийского перечня государственных услуг (работ):
804200О.99.0.ББ52АЗ20000</t>
  </si>
  <si>
    <t>Уникальный номер регионального или общероссийского перечня государственных услуг (работ):
804200О.99.0.ББ52АЖ00000</t>
  </si>
  <si>
    <t>Уникальный номер регионального или общероссийского перечня государственных услуг (работ):
804200О.99.0.ББ52АЕ28000</t>
  </si>
  <si>
    <t>Уникальный номер регионального или общероссийского перечня государственных услуг (работ):
850000.Р.24.1.ББ890002000</t>
  </si>
  <si>
    <t>Уникальный номер регионального или общероссийского перечня государственных услуг (работ):
560200О.99.0.ББ18АА00000</t>
  </si>
  <si>
    <t>Уникальный номер регионального или общероссийского перечня государственных услуг (работ):
804200О.99.0.ББ59АБ20001</t>
  </si>
  <si>
    <t>Уникальный номер регионального или общероссийского перечня государственных услуг (работ):
804200О.99.0.ББ60АБ20001</t>
  </si>
  <si>
    <t>Уникальный номер регионального или общероссийского перечня государственных услуг (работ):
804200О.99.0.ББ60АБ21001</t>
  </si>
  <si>
    <t>Уникальный номер регионального или общероссийского перечня государственных услуг (работ):
841214.Р.24.1.ББ970002000</t>
  </si>
  <si>
    <t>Уникальный номер регионального или общероссийского перечня государственных услуг (работ):
850000.Р.24.1.БВ020002000</t>
  </si>
  <si>
    <t>Уникальный номер регионального или общероссийского перечня государственных услуг (работ):
722030.Р.24.1.БВ100002000</t>
  </si>
  <si>
    <t>Уникальный номер регионального или общероссийского перечня государственных услуг (работ):
620100.Р.24.1.АЖ430002000</t>
  </si>
  <si>
    <t>Уникальный номер регионального или общероссийского перечня государственных услуг (работ):
581900.Р.24.1.АЗ080004000</t>
  </si>
  <si>
    <t>Уникальный номер регионального или общероссийского перечня государственных услуг (работ):
581900.Р.24.1.АЗ040003000</t>
  </si>
  <si>
    <t>Уникальный номер регионального или общероссийского перечня государственных услуг (работ):
620900.Р.24.1.АЖ540004000</t>
  </si>
  <si>
    <t>Уникальный номер регионального или общероссийского перечня государственных услуг (работ):
 620900.Р.24.1.АЖ540003000</t>
  </si>
  <si>
    <t>Уникальный номер регионального или общероссийского перечня государственных услуг (работ):
620900.Р.24.1.АЖ540003000</t>
  </si>
  <si>
    <t>Уникальный номер регионального или общероссийского перечня государственных услуг (работ):
804200О.99.0.ББ52АЕ76000</t>
  </si>
  <si>
    <t>Уникальный номер регионального или общероссийского перечня государственных услуг (работ):
850000.Р.24.1.БВ040002000</t>
  </si>
  <si>
    <t>Уникальный номер регионального или общероссийского перечня государственных услуг (работ):
851200О.99.0.ББ04АВ16000</t>
  </si>
  <si>
    <t>Уникальный номер регионального или общероссийского перечня государственных услуг (работ):
801012О.99.0.БА81АЖ96000</t>
  </si>
  <si>
    <t>Уникальный номер регионального или общероссийского перечня государственных услуг (работ):
802111О.99.0.БА96АЯ83001</t>
  </si>
  <si>
    <t>Уникальный номер регионального или общероссийского перечня государственных услуг (работ):
802111О.99.0.БА96АД20000</t>
  </si>
  <si>
    <t>Уникальный номер регионального или общероссийского перечня государственных услуг (работ):
853212О.99.0.БВ22АА00001</t>
  </si>
  <si>
    <t>Уникальный номер регионального или общероссийского перечня государственных услуг (работ):
692000.Р.24.1.АЧ200004000</t>
  </si>
  <si>
    <t>Уникальный номер регионального или общероссийского перечня государственных услуг (работ):
692000.Р.24.1.АЧ220004000</t>
  </si>
  <si>
    <t>Уникальный номер регионального или общероссийского перечня государственных услуг (работ):
692000.Р.24.1.АЧ220003000</t>
  </si>
  <si>
    <t>Уникальный номер регионального или общероссийского перечня государственных услуг (работ):
692000.Р.24.1.АЧ190005000</t>
  </si>
  <si>
    <t>Уникальный номер регионального или общероссийского перечня государственных услуг (работ):
692000.Р.24.1.АЧ190004000</t>
  </si>
  <si>
    <t>Уникальный номер регионального или общероссийского перечня государственных услуг (работ):
841129.Р.24.1.00000001000</t>
  </si>
  <si>
    <t>Уникальный номер регионального или общероссийского перечня государственных услуг (работ):
493900.Р.24.1.АШ150002000</t>
  </si>
  <si>
    <t>Уникальный номер регионального или общероссийского перечня государственных услуг (работ):
680000.Р.24.1.АЯ030002000</t>
  </si>
  <si>
    <t>Уникальный номер регионального или общероссийского перечня государственных услуг (работ):
804200О.99.0.ББ60АА72001</t>
  </si>
  <si>
    <t>Уникальный номер регионального или общероссийского перечня государственных услуг (работ):
910100О.99.0.ББ71АА00000</t>
  </si>
  <si>
    <t>Уникальный номер регионального или общероссийского перечня государственных услуг (работ):
900410.Р.24.1.АЧ690002000</t>
  </si>
  <si>
    <t>Уникальный номер регионального или общероссийского перечня государственных услуг (работ):
900410.Р.24.1.АГ660002000</t>
  </si>
  <si>
    <t>Уникальный номер регионального или общероссийского перечня государственных услуг (работ):
910200О.99.0.ББ69АА00000</t>
  </si>
  <si>
    <t>Уникальный номер регионального или общероссийского перечня государственных услуг (работ):
910000.Р.24.1.АГ050002000</t>
  </si>
  <si>
    <t xml:space="preserve">Уникальный номер регионального или общероссийского перечня государственных услуг (работ):
900410.Р.24.1.АГ610003000 </t>
  </si>
  <si>
    <t>Уникальный номер регионального или общероссийского перечня государственных услуг (работ):
900410.Р.24.1.АЧ670003000</t>
  </si>
  <si>
    <t>Уникальный номер регионального или общероссийского перечня государственных услуг (работ):
900410.Р.24.1.АЧ690003000</t>
  </si>
  <si>
    <t>Уникальный номер регионального или общероссийского перечня государственных услуг (работ):
931900.Р.24.1.БА310002000</t>
  </si>
  <si>
    <t>Уникальный номер регионального или общероссийского перечня государственных услуг (работ):
931900О.99.0.БВ28АБ30000</t>
  </si>
  <si>
    <t>Уникальный номер регионального или общероссийского перечня государственных услуг (работ):
931900О.99.0.БВ28АБ31000</t>
  </si>
  <si>
    <t>Уникальный номер регионального или общероссийского перечня государственных услуг (работ):
931900О.99.0.БВ28АБ32000</t>
  </si>
  <si>
    <t>Уникальный номер регионального или общероссийского перечня государственных услуг (работ):
931900О.99.0.БВ28АГ55000</t>
  </si>
  <si>
    <t>Уникальный номер регионального или общероссийского перечня государственных услуг (работ):
931900.Р.24.1.БА170002000</t>
  </si>
  <si>
    <t>Уникальный номер регионального или общероссийского перечня государственных услуг (работ):
860000О.99.0.АД57АА46002</t>
  </si>
  <si>
    <t>Уникальный номер регионального или общероссийского перечня государственных услуг (работ): 
860000О.99.0.АД57АА43003</t>
  </si>
  <si>
    <t>Уникальный номер регионального или общероссийского перечня государственных услуг (работ):
860000О.99.0.АД57АА34003</t>
  </si>
  <si>
    <t>Уникальный номер регионального или общероссийского перечня государственных услуг (работ): 
860000О.99.0.АД57АА49002</t>
  </si>
  <si>
    <t>Уникальный номер регионального или общероссийского перечня государственных услуг (работ): 
860000О.99.0.АД57АА17003</t>
  </si>
  <si>
    <t>Уникальный номер регионального или общероссийского перечня государственных услуг (работ):  
860000О.99.0.АД57АА14003</t>
  </si>
  <si>
    <t>Уникальный номер регионального или общероссийского перечня государственных услуг (работ):  
860000О.99.0.АД57АА26004</t>
  </si>
  <si>
    <t>Уникальный номер регионального или общероссийского перечня государственных услуг (работ):  
860000О.99.0.АД59АА06001</t>
  </si>
  <si>
    <t>Уникальный номер регионального или общероссийского перечня государственных услуг (работ):  
860000О.99.0.АД59АА00001</t>
  </si>
  <si>
    <t>Уникальный номер регионального или общероссийского перечня государственных услуг (работ):  
860000О.99.0.АД59АА04001</t>
  </si>
  <si>
    <t>Уникальный номер регионального или общероссийского перечня государственных услуг (работ):  
860000О.99.0.АД59АА02001</t>
  </si>
  <si>
    <t>Уникальный номер регионального или общероссийского перечня государственных услуг (работ):  
860000О.99.0.АД59АА05002</t>
  </si>
  <si>
    <t>Уникальный номер регионального или общероссийского перечня государственных услуг (работ):  
860000О.99.0.АД59АА07002</t>
  </si>
  <si>
    <t>Уникальный номер регионального или общероссийского перечня государственных услуг (работ):  
860000О.99.0.АД59АА01002</t>
  </si>
  <si>
    <t>Уникальный номер регионального или общероссийского перечня государственных услуг (работ):  
860000О.99.0.АД59АА03002</t>
  </si>
  <si>
    <t>Уникальный номер регионального или общероссийского перечня государственных услуг (работ):  
860000О.99.0.АД61АА02001</t>
  </si>
  <si>
    <t>Уникальный номер регионального или общероссийского перечня государственных услуг (работ):  
860000О.99.0.АД61АА05001</t>
  </si>
  <si>
    <t>Уникальный номер регионального или общероссийского перечня государственных услуг (работ):  
860000О.99.0.АД66АА00002</t>
  </si>
  <si>
    <t>Уникальный номер регионального или общероссийского перечня государственных услуг (работ): 
804200О.99.0.ББ60АА72001</t>
  </si>
  <si>
    <t>Уникальный номер регионального или общероссийского перечня государственных услуг (работ): 
852101О.99.0.ББ28ПИ61000</t>
  </si>
  <si>
    <t>Уникальный номер регионального или общероссийского перечня государственных услуг (работ): 
852101О.99.0.ББ28ОО58000</t>
  </si>
  <si>
    <t>Уникальный номер регионального или общероссийского перечня государственных услуг (работ): 
852101О.99.0.ББ28ОР68000</t>
  </si>
  <si>
    <t>Уникальный номер регионального или общероссийского перечня государственных услуг (работ): 
852101О.99.0.ББ28ПЗ51000</t>
  </si>
  <si>
    <t>Уникальный номер регионального или общероссийского перечня государственных услуг (работ): 
852101О.99.0.ББ28ОЭ11000</t>
  </si>
  <si>
    <t>Уникальный номер регионального или общероссийского перечня государственных услуг (работ): 
852101О.99.0.ББ28ПГ52000</t>
  </si>
  <si>
    <t>Уникальный номер регионального или общероссийского перечня государственных услуг (работ): 
852101О.99.0.ББ28ОЛ19000</t>
  </si>
  <si>
    <t>Уникальный номер регионального или общероссийского перечня государственных услуг (работ): 
581900.Р.24.1.АЗ070003000</t>
  </si>
  <si>
    <t>Уникальный номер регионального или общероссийского перечня государственных услуг (работ): 
581900.Р.24.1.АЗ080005000</t>
  </si>
  <si>
    <t>Уникальный номер регионального или общероссийского перечня государственных услуг (работ): 
631100.Р.24.1.АЖ460006000</t>
  </si>
  <si>
    <t>Уникальный номер регионального или общероссийского перечня государственных услуг (работ): 
620000.Р.24.1.АЖ540002000</t>
  </si>
  <si>
    <t>Уникальный номер регионального или общероссийского перечня государственных услуг (работ):  860000.Р.24.1.АЕ140002000</t>
  </si>
  <si>
    <t>Уникальный номер регионального или общероссийского перечня государственных услуг (работ):  869000.Р.24.1.АД860002000</t>
  </si>
  <si>
    <t>Уникальный номер регионального или общероссийского перечня государственных услуг (работ):  861000.Р.24.1.АЕ260002000</t>
  </si>
  <si>
    <t>Уникальный номер регионального или общероссийского перечня государственных услуг (работ): 860000О.99.0.АД70АА13000</t>
  </si>
  <si>
    <t>Уникальный номер регионального или общероссийского перечня государственных услуг (работ): 860000О.99.0.АД85АА00000</t>
  </si>
  <si>
    <t>Уникальный номер регионального или общероссийского перечня государственных услуг (работ): 
869000.Р.24.1.АД870002000</t>
  </si>
  <si>
    <t>Уникальный номер регионального или общероссийского перечня государственных услуг (работ): 
869000.Р.24.1.АД960002000</t>
  </si>
  <si>
    <t>Уникальный номер регионального или общероссийского перечня государственных услуг (работ):  861000.Р.24.1.АЕ250002000</t>
  </si>
  <si>
    <t>Уникальный номер регионального или общероссийского перечня государственных услуг (работ):
861000О.99.0.АЕ72АА03000</t>
  </si>
  <si>
    <t>Уникальный номер регионального или общероссийского перечня государственных услуг (работ):
931900.Р.24.1.БА260002000</t>
  </si>
  <si>
    <t>Уникальный номер регионального или общероссийского перечня государственных услуг (работ):
931900.Р.24.1.БА210002001</t>
  </si>
  <si>
    <t>Уникальный номер регионального или общероссийского перечня государственных услуг (работ):
931900.Р.24.1.АД590001000</t>
  </si>
  <si>
    <t>Уникальный номер регионального или общероссийского перечня государственных услуг (работ):
931900О.99.0.БВ27АВ93001</t>
  </si>
  <si>
    <t>Уникальный номер регионального или общероссийского перечня государственных услуг (работ):
931900О.99.0.БВ27АВ79001</t>
  </si>
  <si>
    <t>Уникальный номер регионального или общероссийского перечня государственных услуг (работ):
931900О.99.0.БВ27АВ80001</t>
  </si>
  <si>
    <t>Уникальный номер регионального или общероссийского перечня государственных услуг (работ):
931900О.99.0.БВ27АВ81001</t>
  </si>
  <si>
    <t>Уникальный номер регионального или общероссийского перечня государственных услуг (работ):
931900О.99.0.БВ27АА55001</t>
  </si>
  <si>
    <t>Уникальный номер регионального или общероссийского перечня государственных услуг (работ):
931900О.99.0.БВ27АА56001</t>
  </si>
  <si>
    <t>Уникальный номер регионального или общероссийского перечня государственных услуг (работ):
931900О.99.0.БВ27АА85001</t>
  </si>
  <si>
    <t>Уникальный номер регионального или общероссийского перечня государственных услуг (работ):
931900О.99.0.БВ27АА86001</t>
  </si>
  <si>
    <t>Уникальный номер регионального или общероссийского перечня государственных услуг (работ):
931900О.99.0.БВ27АА87001</t>
  </si>
  <si>
    <t>Уникальный номер регионального или общероссийского перечня государственных услуг (работ):
931900О.99.0.БВ27АА88001</t>
  </si>
  <si>
    <t>Уникальный номер регионального или общероссийского перечня государственных услуг (работ):
931900О.99.0.БВ27АБ00001</t>
  </si>
  <si>
    <t>Уникальный номер регионального или общероссийского перечня государственных услуг (работ):
931900О.99.0.БВ27АБ01001</t>
  </si>
  <si>
    <t>Уникальный номер регионального или общероссийского перечня государственных услуг (работ):
931900О.99.0.БВ27АБ02001</t>
  </si>
  <si>
    <t>Уникальный номер регионального или общероссийского перечня государственных услуг (работ):
931900О.99.0.БВ27АБ20001</t>
  </si>
  <si>
    <t>Уникальный номер регионального или общероссийского перечня государственных услуг (работ):
931900О.99.0.БВ27АБ21001</t>
  </si>
  <si>
    <t>Уникальный номер регионального или общероссийского перечня государственных услуг (работ):
931900О.99.0.БВ27АБ95001</t>
  </si>
  <si>
    <t>Уникальный номер регионального или общероссийского перечня государственных услуг (работ):
931900О.99.0.БВ27АБ96001</t>
  </si>
  <si>
    <t>Уникальный номер регионального или общероссийского перечня государственных услуг (работ):
931900О.99.0.БВ27АБ97001</t>
  </si>
  <si>
    <t>Уникальный номер регионального или общероссийского перечня государственных услуг (работ):
931900О.99.0.БВ27АБ98001</t>
  </si>
  <si>
    <t>Уникальный номер регионального или общероссийского перечня государственных услуг (работ):
931900О.99.0.БВ27АВ50001</t>
  </si>
  <si>
    <t>Уникальный номер регионального или общероссийского перечня государственных услуг (работ):
931900О.99.0.БВ27АВ51001</t>
  </si>
  <si>
    <t>Уникальный номер регионального или общероссийского перечня государственных услуг (работ):
931900О.99.0.БВ27АА95001</t>
  </si>
  <si>
    <t>Уникальный номер регионального или общероссийского перечня государственных услуг (работ):
931900О.99.0.БВ28АВ30000</t>
  </si>
  <si>
    <t>Уникальный номер регионального или общероссийского перечня государственных услуг (работ):
931900О.99.0.БВ29АБ23001</t>
  </si>
  <si>
    <t>Уникальный номер регионального или общероссийского перечня государственных услуг (работ):
931900О.99.0.БВ27АВ42001</t>
  </si>
  <si>
    <t xml:space="preserve">Уникальный номер регионального или общероссийского перечня государственных услуг (работ):
931900О.99.0.БВ27АВ41001 </t>
  </si>
  <si>
    <t>Уникальный номер регионального или общероссийского перечня государственных услуг (работ):
931900О.99.0.БВ27АВ40001</t>
  </si>
  <si>
    <t>Уникальный номер регионального или общероссийского перечня государственных услуг (работ):
931900О.99.0.БВ27АБ05001</t>
  </si>
  <si>
    <t>Уникальный номер регионального или общероссийского перечня государственных услуг (работ):
931900О.99.0.БВ27АБ06001</t>
  </si>
  <si>
    <t>Уникальный номер регионального или общероссийского перечня государственных услуг (работ):
931900О.99.0.БВ27АБ07001</t>
  </si>
  <si>
    <t>Уникальный номер регионального или общероссийского перечня государственных услуг (работ):
931900О.99.0.БВ27АВ15001</t>
  </si>
  <si>
    <t xml:space="preserve">Уникальный номер регионального или общероссийского перечня государственных услуг (работ):
931900О.99.0.БВ27АВ16001 </t>
  </si>
  <si>
    <t>Уникальный номер регионального или общероссийского перечня государственных услуг (работ):
931900О.99.0.БВ27АВ17001</t>
  </si>
  <si>
    <t xml:space="preserve">Уникальный номер регионального или общероссийского перечня государственных услуг (работ):
931900О.99.0.БВ27АВ18001 </t>
  </si>
  <si>
    <t>Уникальный номер регионального или общероссийского перечня государственных услуг (работ):
931900О.99.0.БВ27АБ55001</t>
  </si>
  <si>
    <t xml:space="preserve">Уникальный номер регионального или общероссийского перечня государственных услуг (работ):
931900О.99.0.БВ27АБ56001 </t>
  </si>
  <si>
    <t>Уникальный номер регионального или общероссийского перечня государственных услуг (работ):
931900О.99.0.БВ27АА10001</t>
  </si>
  <si>
    <t>Уникальный номер регионального или общероссийского перечня государственных услуг (работ):
931900О.99.0.БВ28АГ45000</t>
  </si>
  <si>
    <t>Уникальный номер регионального или общероссийского перечня государственных услуг (работ):
931900О.99.0.БВ28АГ46000</t>
  </si>
  <si>
    <t>Уникальный номер регионального или общероссийского перечня государственных услуг (работ):
931900О.99.0.БВ28АБ66000</t>
  </si>
  <si>
    <t>Уникальный номер регионального или общероссийского перечня государственных услуг (работ):
931900О.99.0.БВ28АГ56000</t>
  </si>
  <si>
    <t>Уникальный номер регионального или общероссийского перечня государственных услуг (работ):
931900О.99.0.БВ27АА15001</t>
  </si>
  <si>
    <t>Уникальный номер регионального или общероссийского перечня государственных услуг (работ):
931900О.99.0.БВ27АА16001</t>
  </si>
  <si>
    <t>Уникальный номер регионального или общероссийского перечня государственных услуг (работ):
931900О.99.0.БВ27АА17001</t>
  </si>
  <si>
    <t>Уникальный номер регионального или общероссийского перечня государственных услуг (работ):
931900О.99.0.БВ27АА18001</t>
  </si>
  <si>
    <t>Уникальный номер регионального или общероссийского перечня государственных услуг (работ):
931900О.99.0.БВ27АБ15001</t>
  </si>
  <si>
    <t>Уникальный номер регионального или общероссийского перечня государственных услуг (работ):
931900О.99.0.БВ28АВ85000</t>
  </si>
  <si>
    <t>Уникальный номер регионального или общероссийского перечня государственных услуг (работ):
931900О.99.0.БВ28АВ86000</t>
  </si>
  <si>
    <t>Уникальный номер регионального или общероссийского перечня государственных услуг (работ):
931900О.99.0.БВ28АВ87000</t>
  </si>
  <si>
    <t>Уникальный номер регионального или общероссийского перечня государственных услуг (работ):
931900О.99.0.БВ28АВ88000</t>
  </si>
  <si>
    <t>Уникальный номер регионального или общероссийского перечня государственных услуг (работ):
931900О.99.0.БВ28АБ42000</t>
  </si>
  <si>
    <t>Уникальный номер регионального или общероссийского перечня государственных услуг (работ):
931900О.99.0.БВ27АВ35001</t>
  </si>
  <si>
    <t>Уникальный номер регионального или общероссийского перечня государственных услуг (работ):
931900О.99.0.БВ27АВ36001</t>
  </si>
  <si>
    <t>Уникальный номер регионального или общероссийского перечня государственных услуг (работ):
931900О.99.0.БВ27АВ37001</t>
  </si>
  <si>
    <t>Уникальный номер регионального или общероссийского перечня государственных услуг (работ):
931900О.99.0.БВ27АВ38001</t>
  </si>
  <si>
    <t>Уникальный номер регионального или общероссийского перечня государственных услуг (работ):
931900.Р.24.1.БА240002000</t>
  </si>
  <si>
    <t>Уникальный номер регионального или общероссийского перечня государственных услуг (работ):
852101О.99.0.ББ28УЭ20000</t>
  </si>
  <si>
    <t>Уникальный номер регионального или общероссийского перечня государственных услуг (работ):
692000.Р.24.1.АЧ190002000</t>
  </si>
  <si>
    <t>Уникальный номер регионального или общероссийского перечня государственных услуг (работ):
692000.Р.24.1.АЧ250003000</t>
  </si>
  <si>
    <t>Уникальный номер регионального или общероссийского перечня государственных услуг (работ):
932900.Р.24.1.АЗ310001000</t>
  </si>
  <si>
    <t>Уникальный номер регионального или общероссийского перечня государственных услуг (работ):
931900.Р.24.1.БА160001000</t>
  </si>
  <si>
    <t>Уникальный номер регионального или общероссийского перечня государственных услуг (работ):
631200.Р.24.1.АЖ570001000</t>
  </si>
  <si>
    <t>Уникальный номер регионального или общероссийского перечня государственных услуг (работ):
493900.Р.24.1.АШ150003000</t>
  </si>
  <si>
    <t>Уникальный номер регионального или общероссийского перечня государственных услуг (работ): 750000.Р.24.0.АЦ470011000</t>
  </si>
  <si>
    <t>Уникальный номер регионального или общероссийского перечня государственных услуг (работ): 024010.Р.24.1.АВ280024002</t>
  </si>
  <si>
    <t xml:space="preserve">километр
(создание лесных дорог предназначенных для охраны лесов от пожаров) </t>
  </si>
  <si>
    <t xml:space="preserve">
Предупреждение возникновения и распространения лесных пожаров, а также их тушение, включая территорию ООПТ</t>
  </si>
  <si>
    <t>километр
(реконструкция лесных дорог предназначенных для охраны лесов от пожаров)</t>
  </si>
  <si>
    <t>километр
(эксплуатация лесных дорог предназначенных для охраны лесов от пожаров)</t>
  </si>
  <si>
    <t>километр
(прокладка просек, противопожарных разрывов, всего, в т.ч. прокладка противопожарных разрывов)</t>
  </si>
  <si>
    <t>Предупреждение возникновения и распространения лесных пожаров, включая территорию ООПТ</t>
  </si>
  <si>
    <t>километр
(устройство противопожарных минерализованных полос)</t>
  </si>
  <si>
    <t>единица
(устройство пожарных водоемов и подъездов к источникам противопожарного снабжения, 
в т.ч. устройство подъездов к источникам противопожарного водоснабжения)</t>
  </si>
  <si>
    <t>гектар
(проведение профилактического контролируемого противопожарного выжигания хвороста, лесной подстилки, сухой травы и других лесных горючих материалов)</t>
  </si>
  <si>
    <t xml:space="preserve">Предупреждение возникновения и распространения лесных пожаров, включая территорию ООПТ
</t>
  </si>
  <si>
    <t>километр
(прочистка просек, уход  за противопожарными разрывами, 
в.т.ч. уход за противопожарными разрывами)</t>
  </si>
  <si>
    <t>Предупреждение возникновения и распространения лесных пожаров, а также их тушение, включая особо охраняемую природную территорию</t>
  </si>
  <si>
    <t>километр
(прочистка противопожарных минерализованных полос и их обновление)</t>
  </si>
  <si>
    <t xml:space="preserve">Предупреждение возникновения и распространения лесных пожаров, а также их тушение, включая территорию ООПТ </t>
  </si>
  <si>
    <t>единица
(эксплуатация пожарных водоемов и подъездов к источникам противопожарного водоснабжения, в т.ч. эксплуатация подъездов к источникам водоснабжения)</t>
  </si>
  <si>
    <t>Профилактика возникновения очагов вредных организмов</t>
  </si>
  <si>
    <t>гектар
(планирование, обоснование и назначение санитарно-оздоровительных мероприятий и мероприятий по защите лесов, в т.ч. лесопатологическое обследование инструментальным способом)</t>
  </si>
  <si>
    <t>гектар
(планирование, обоснование и назначение санитарно-оздоровительных мероприятий и мероприятий по защите лесов, в т.ч. лесопатологическое обследование визуальным способом)</t>
  </si>
  <si>
    <t>046 0407 0910219299 621</t>
  </si>
  <si>
    <t>гектар/кубический метр
(предупреждение возникновения вредных организмов, санитарно-оздоровительные мероприятия, сплошные санитарные рубки)</t>
  </si>
  <si>
    <t>Профилактика возникновения, локализации и ликвидации очагов вредных организмов</t>
  </si>
  <si>
    <t>гектар/кубический метр
(предупреждение возникновения вредных организмов, санитарно-оздоровительные мероприятия, выборочные санитарные рубки)</t>
  </si>
  <si>
    <t>046 0407 0910319299 621</t>
  </si>
  <si>
    <t>гектар/кубический метр
(предупреждение возникновения вредных организмов, санитарно-оздоровительные мероприятия, уборка неликвидной древесины)</t>
  </si>
  <si>
    <t>гектар/кубический метр
(предупреждение возникновения вредных организмов, санитарно-оздоровительные мероприятия, уборка неликвидной древесины за счет иных средств)</t>
  </si>
  <si>
    <t xml:space="preserve"> Профилактика возникновения, локализации и ликвидации очагов вредных организмов</t>
  </si>
  <si>
    <t>гектар
(очистка лесов от захламления, загрязнения и иного негативного воздействия)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</si>
  <si>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</si>
  <si>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Количество мероприятий
(проведение противопожарной пропаганды и других профилактических мероприятий в целях предотвращения возникновения лесных пожаров)</t>
  </si>
  <si>
    <t>Организация и проведение работ по учёту,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</t>
  </si>
  <si>
    <t>Количество объектов
(биотехнические мероприятия, устройство кормовых полей, подкормочных площадок, водопоев, привад, солонцов, искусственных гнездовий)</t>
  </si>
  <si>
    <t>Сохранение природных комплексов, уникальных и эталонных природных участков и объектов</t>
  </si>
  <si>
    <t>Объем выкладываемых кормов
(проведение подкормочных мероприятий на территории)</t>
  </si>
  <si>
    <t>Площадь, охваченная мероприятиями
(биотехнические мероприятия, обеспечение соблюдения режима особо охраняемых природных территорий регионального значения)</t>
  </si>
  <si>
    <t>Количество актов о прове-денных мероприятий
(биотехнические мероприятия, обеспечение соблюдения режима особо охраняемых природных территорий регионального значения)</t>
  </si>
  <si>
    <t>Площадь
(проверка (объезд,контроль) территории)</t>
  </si>
  <si>
    <t>046 0407 091GА54310 621</t>
  </si>
  <si>
    <t>046 0407 091GА54290 621</t>
  </si>
  <si>
    <t>046 0407 0930217199 611</t>
  </si>
  <si>
    <t>10.1.22</t>
  </si>
  <si>
    <t>10.1.23</t>
  </si>
  <si>
    <t>10.1.24</t>
  </si>
  <si>
    <t>10.1.25</t>
  </si>
  <si>
    <t>10.1.26</t>
  </si>
  <si>
    <t>10.1.27</t>
  </si>
  <si>
    <t>10.1.28</t>
  </si>
  <si>
    <t>10.1.29</t>
  </si>
  <si>
    <t>10.1.30</t>
  </si>
  <si>
    <t>Количество рейдовых выездов
(jбеспечение проведения мероприятий по сохранению объектов животного мира, включая редких и находящихся под угрозой исчезновения, и среды их обитания, в т.ч. проведение мероприятий по охране животного мира и среды его обитания на особо охраняемых природных территориях, выезды на территорию парка)</t>
  </si>
  <si>
    <t>Количество эколого-просветительских мероприятий
(проведение эколого-просветительских мероприятий на территории ООПТ и иных природных территориях, организация и проведение мероприятий по экологическому просвещению и пропаганде бережного отношения населения к окружающей природной среде)</t>
  </si>
  <si>
    <t>Количество выступлений в СМИ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</si>
  <si>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публикаций
(проведение эколого-просветительских мероприятий на территории ООПТ и иных природных территориях, пропаганда экологических знаний)</t>
  </si>
  <si>
    <t>Создание условий для регулируемого туризма и отдыха</t>
  </si>
  <si>
    <t>Количество объектов
(рекреационное обустройство ООПТ, создание и обустройство экологических троп и маршрутов)</t>
  </si>
  <si>
    <t xml:space="preserve">Протяженность экологических троп и туристических маршрутов
(рекреационное обустройство ООПТ, создание и обустройство экологических троп и маршрутов) </t>
  </si>
  <si>
    <t>Количество привлеченных пользователей
(рекреационное обустройство ООПТ, осуществление мероприятий в области обслуживания посетителей на ООПТ)</t>
  </si>
  <si>
    <t>Площадь охот угодий
(учёт объектов животного мира, включая редких и находящихся под угрозой исчезновения, охотничьих ресурсов)</t>
  </si>
  <si>
    <t>Количество организованных и проведенных учетных работ
(учёт объектов животного мира, включая редких и находящихся под угрозой исчезновения, охотничьих ресурсов)</t>
  </si>
  <si>
    <t>Количество подготовленных аналитических  отчетов
(учёт объектов животного мира, включая редких и находящихся под угрозой исчезновения, охотничьих ресурсов)</t>
  </si>
  <si>
    <t xml:space="preserve">Организация и проведение работ по учету, анализу численности объектов животного мира, отнесенных к объектам охоты, а также редких и находящихся под угрозой исчезновения объектов животного мира
</t>
  </si>
  <si>
    <t>Площадь
(биотехнические мероприятия, устройство кормовых полей, подкормочных площадок, водопоев, привад, солонцов, искусственных гнездовий)</t>
  </si>
  <si>
    <t>Количество актов о проведенных мероприятиях
(биотехнические мероприятия, обеспечение соблюдения режима особо охраняемых природных территорий регионального значения)</t>
  </si>
  <si>
    <t>Количество экологопросветительских мероприятий
(проведение эколого-просветительских мероприятий на территории ООПТ и иных природных территориях, пропаганда экологических знаний)</t>
  </si>
  <si>
    <t>Количество привлеченных пользователей
(рекреационное обустройство ООПТ, создание и обустройство экологических троп и маршрутов)</t>
  </si>
  <si>
    <t>Количество влеченных пользователей
(рекреационное обустройство ООПТ, осуществление мероприятий в области обслуживания посетителей на ООПТ)</t>
  </si>
  <si>
    <t>Количество рейдовых выездов
(проведение мероприятий по охране животного мира и среды его обитания на особо охраняемых природных территориях)</t>
  </si>
  <si>
    <t>Обеспечение проведения мероприятий по сохранению объектов животного мира, включая редких и находящихся под угрозой исчезновения, и среды их обитания</t>
  </si>
  <si>
    <t>Количество посетителей
(проведение противопожарной пропаганды и других профилактических мероприятий в целях предотвращения возникновения лесных пожаров)</t>
  </si>
  <si>
    <t xml:space="preserve">Единица
(установка шлагбаумов, устройство преград, обеспечивающих ограничение пребывания граждан в лесах в целях обеспечения пожарной безопасности) </t>
  </si>
  <si>
    <t>Единица
(установка и размещение стендов и других знаков и указателей, содержащих информацию о мерах пожарной безопасности в лесах)</t>
  </si>
  <si>
    <t>Гектар
(очистка лесов от захламления, загрязнения и иного негативного воздействия)</t>
  </si>
  <si>
    <t>Количество объектов
(рекреационное обустройство ООПТ, организация регламентированной рекреации)</t>
  </si>
  <si>
    <t>Количество интернет сайтов</t>
  </si>
  <si>
    <t>Количество рубрик
(электронная рубрика "Вопрос-ответ", обновление информации, новостная лента и размещение полезной информаци)</t>
  </si>
  <si>
    <t>Осуществление мер по предотвращению негативного воздействия на окружающую среду, включая атмосферный воздух, поверхностные, подземные и питьевую воды, почву</t>
  </si>
  <si>
    <t>Количество записей
(сбор и обработка статистической информации, ведение реестров по отчетам)</t>
  </si>
  <si>
    <t xml:space="preserve">Осуществление мер по предотвращению негативного воздействия на окружающую среду, включая атмосферный воздух, поверхностные, подземные и питьевую воды, почву. </t>
  </si>
  <si>
    <t>Количество информационных ресурсов и баз данных
(сбор и обработка статистической информации)</t>
  </si>
  <si>
    <t>Количество проведенных мероприятий
(сбор и обработка статистической информации, отчеты субъектов об образовании отходов (в том числе МСП)</t>
  </si>
  <si>
    <t>Организация мероприятий по предотвращению негативного воздействия на окружающую среду</t>
  </si>
  <si>
    <t>Количество проведенных мероприятий 
(сбор и обработка статистической информации, отчеты по кадастру отходов от природопользователей)</t>
  </si>
  <si>
    <t>Количество проведенных мероприятий
(принятие заявок по постановке на учет объектов негативного воздействия)</t>
  </si>
  <si>
    <t>Количество проведенных мероприятий
(принятие отчетов ПЭК)</t>
  </si>
  <si>
    <t>Количество проведенных мероприятий
(проведение консультаций природопользователей  по вопросам экономической оценки влияния субъектов хозяйственной и иной деятельности на окружающую среду, информации об измене-ниях экологического законодательства представителям субъектов хозяйственной и иной деятельности)</t>
  </si>
  <si>
    <t>Количество проведенных мероприятий
(участие в организации и развитии системы экологического образования и формирования экологической культуры на территории края)</t>
  </si>
  <si>
    <t>Количество проведенных мероприятий
(проведение практик со студентами ВУЗов и СУЗов)</t>
  </si>
  <si>
    <t>Количество проведенных мероприятий 
(участие в совместных рейдах и комиссиях по выявлению нарушений природоохранного законодательства субъектами хозяйственной и иной, в комиссиях по уничтожению наркотических средств и их прекурсоров)</t>
  </si>
  <si>
    <t>Количество проведенных мероприятий
(участие в экологических десантах)</t>
  </si>
  <si>
    <t>Количество проведенных мероприятий
(рассмотрение и согласование деклараций  о воздействии на окружающую среду в отношении объектов, подлежащих региональному государственному экологическому надзору)</t>
  </si>
  <si>
    <t>ИТОГО субсидий на оказание государственных услуг
(выполнение работ) по Администрации Губернатора Забайкальского края</t>
  </si>
  <si>
    <t>Уникальный номер регионального или общероссийского перечня государственных услуг (работ):
581900.Р.24.1.АЗ070003000</t>
  </si>
  <si>
    <t>Код (коды) бюджетной
классификации:
001 0113 8800019903 611</t>
  </si>
  <si>
    <t>Уникальный номер регионального или общероссийского перечня государственных услуг (работ):
931900О.99.0.БВ29АБ22001</t>
  </si>
  <si>
    <t>Уникальный номер регионального или общероссийского перечня государственных услуг (работ):
931900О.99.0.БВ27АА26001</t>
  </si>
  <si>
    <t>Уникальный номер регионального или общероссийского перечня государственных услуг (работ):
931900О.99.0.БВ27АА28001</t>
  </si>
  <si>
    <t>Уникальный номер регионального или общероссийского перечня государственных услуг (работ):
931900О.99.0.БВ27АБ80001</t>
  </si>
  <si>
    <t>Уникальный номер регионального или общероссийского перечня государственных услуг (работ):
931900О.99.0.БВ27АБ81001</t>
  </si>
  <si>
    <t>Уникальный номер регионального или общероссийского перечня государственных услуг (работ):
931900О.99.0.БВ27АБ82001</t>
  </si>
  <si>
    <t>Уникальный номер регионального или общероссийского перечня государственных услуг (работ):
931900О.99.0.БВ27АБ83001</t>
  </si>
  <si>
    <t>Обслуживаемая площадь всего, в том числе зданий, прилегающих территорий</t>
  </si>
  <si>
    <t>стр.</t>
  </si>
  <si>
    <t>Уникальный номер регионального или общероссийского перечня государственных услуг (работ):
931900О.99.0.БВ27АА25001</t>
  </si>
  <si>
    <t>Уникальный номер регионального или общероссийского перечня государственных услуг (работ):
931900О.99.0.БВ29АА81001</t>
  </si>
  <si>
    <r>
      <t xml:space="preserve">Число лиц, прошедших спортивную подготовку на этапах спортивной подготовки
</t>
    </r>
    <r>
      <rPr>
        <sz val="11"/>
        <rFont val="Times New Roman"/>
        <family val="1"/>
        <charset val="204"/>
      </rPr>
      <t>(Шахматы ( тренировочный этап))</t>
    </r>
  </si>
  <si>
    <t>Уникальный номер регионального или общероссийского перечня государственных услуг (работ):
931900О.99.0.БВ29АБ21001</t>
  </si>
  <si>
    <t>Число лиц, прошедших спортивную подготовку на этапах спортивной подготовки
(Стрельба из лука (тренировочный этап))</t>
  </si>
  <si>
    <t xml:space="preserve">Уникальный номер регионального или общероссийского перечня государственных услуг (работ):
931900О.99.0.БВ27АА25001 </t>
  </si>
  <si>
    <t xml:space="preserve">Уникальный номер регионального или общероссийского перечня государственных услуг (работ):
931900О.99.0.БВ27АА26001 </t>
  </si>
  <si>
    <t xml:space="preserve">Уникальный номер регионального или общероссийского перечня государственных услуг (работ):
931900О.99.0.БВ27АА27001 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</si>
  <si>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</si>
  <si>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Численность обучающихся
(23.01.10 Слесарь по обслуживанию и ремонту подвижного состава, очная)</t>
  </si>
  <si>
    <t>Численность обучающихся
(23.01.09 Машинист локомотива, очная)</t>
  </si>
  <si>
    <t>Численность обучающихся
(43.01.06 Проводник на железнодорожном транспорте, очная с применением сетевой формы реализации)</t>
  </si>
  <si>
    <t>Численность обучающихся
(23.01.13 Электромонтер тяговой подстанции, очная)</t>
  </si>
  <si>
    <t>Численность обучающихся
(09.01.03 Мастер по обработке цифровой информации, очная)</t>
  </si>
  <si>
    <t>Численность обучающихся 
(23.01.14 Электромонтер устройств сигнализации, централизации, блокировки (сцб), очная)</t>
  </si>
  <si>
    <t>Численность обучающихся
(281 38.01.02 Продавец, контролер-кассир, очная)</t>
  </si>
  <si>
    <t>Численность обучающихся
(19.01.17 Повар, кондитер, очная)</t>
  </si>
  <si>
    <t>Численность обучающихся
(43.01.09 Повар, кондитер, очная)</t>
  </si>
  <si>
    <t>Численность обучающихся 
(43.01.09 Повар, кондитер, очная)</t>
  </si>
  <si>
    <t>Численность обучающихся
(15.01.05 Сварщик (ручной и частично механизированной сварки (наплавки), очная)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</si>
  <si>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</t>
  </si>
  <si>
    <t>Численность обучающихся
(29.01.07 Портной, очная)</t>
  </si>
  <si>
    <t>Численность обучающихся
(08.01.18 Электромонтажник электрических сетей и электрооборудования, очная)</t>
  </si>
  <si>
    <t>Численность обучающихся
(08.01.05 Мастер столярно-плотничных и паркетных работ, очная)</t>
  </si>
  <si>
    <t>Численность обучающихся
(039 11.01.08 Оператор связи, очная)</t>
  </si>
  <si>
    <t>Численность обучающихся
(38.01.03 Контролер банка, основное общее образование, очная)</t>
  </si>
  <si>
    <t>Численность обучающихся
(38.01.03 Контролер банка, среднее общее образование, очная)</t>
  </si>
  <si>
    <t>Количество человеко-часов
(19601 Швея, обучающиеся с ограниченными возможностями здоровья (ОВЗ), очная)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</si>
  <si>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</si>
  <si>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Количество человеко-часов
(18880 Столяр строительный, обучающиеся с ограниченными возможностями здоровья (ОВЗ), очная)</t>
  </si>
  <si>
    <t>Количество человеко-часов
(18880 Столяр строительный,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</si>
  <si>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(16019 Почтальон, обучающиеся с ограниченными возможностями здоровья (ОВЗ), очная)</t>
  </si>
  <si>
    <t>Количество человеко-часов
(13450 Маляр, обучающиеся с ограниченными возможностями здоровья (ОВЗ), очная)</t>
  </si>
  <si>
    <t>Количество человеко-часов
(19727 Штукатур, обучающиеся с ограниченными возможностями здоровья (ОВЗ), очная)</t>
  </si>
  <si>
    <t>Количество человеко-часов
(16675 Повар,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</si>
  <si>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(16675 Повар, обучающиеся с ограниченными возможностями здоровья (ОВЗ), очная)</t>
  </si>
  <si>
    <t>Количество человеко-часов
(11695 Горничная, обучающиеся с ограниченными возможностями здоровья (ОВЗ), очная)</t>
  </si>
  <si>
    <t>Количество человеко-часов
(15220 Облицовщик-плиточник, обучающиеся с ограниченными возможностями здоровья (ОВЗ), очная)</t>
  </si>
  <si>
    <t>Количество человеко-часов
(13247 Курьер, обучающиеся с ограниченными возможностями здоровья (ОВЗ), очная)</t>
  </si>
  <si>
    <t>Количество человеко-часов
(16472 Пекарь, обучающиеся с ограниченными возможностями здоровья (ОВЗ), очная)</t>
  </si>
  <si>
    <t>Количество человеко-часов
(13138 Косметик, обучающиеся с ограниченными возможностями здоровья (ОВЗ), очная)</t>
  </si>
  <si>
    <t xml:space="preserve"> 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</si>
  <si>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Численность обучающихся 
(23.01.03 Автомеханик, основное общее образование, очная)</t>
  </si>
  <si>
    <t>Численность обучающихся
(23.01.03 Автомеханик, основное общее образование, очная)</t>
  </si>
  <si>
    <t>Численность обучающихся
(15.01.26 Токарь-универсал, основное общее образование, очная)</t>
  </si>
  <si>
    <t>Численность обучающихся
(22.01.05 Аппаратчик-оператор в производстве цветных металлов, основное общее образование, очная)</t>
  </si>
  <si>
    <t>Численность обучающихся
(08.01.08 Мастер отделочных строительных работ, основное общее образование, очная)</t>
  </si>
  <si>
    <t>Численность обучающихся
(23.01.17 Мастер по ремонту и обслуживанию автомобилей, основное общее образование, очная)</t>
  </si>
  <si>
    <t>Численность обучающихся
(13.01.10 Электромонтер по ремонту и обслуживанию электрооборудования, основное общее образование, очное)</t>
  </si>
  <si>
    <t>Численность обучающихся
(064 13.01.10 Электромонтер по ремонту и обслуживанию электрооборудования, основное общее образование, очное)</t>
  </si>
  <si>
    <t>Численность обучающихся
(16678 Плодоовощевод, обучающиеся с ограниченными возможностями здоровья (ОВЗ), очная)</t>
  </si>
  <si>
    <t>Численность обучающихся
(35.01.14 Мастер по техническому обслуживанию и ремонту машинно-тракторного парка, основное общее образование, очная)</t>
  </si>
  <si>
    <t>Численность обучающихся
(35.01.13 Тракторист-машинист сельскохозяйственного производства, основное общее образование, очная)</t>
  </si>
  <si>
    <t>Численность обучающихся
(15.01.30 Слесарь, основное общее образование, очная)</t>
  </si>
  <si>
    <t>Количество человеко-часов
(18511 Слесарь по ремонту автомобилей, обучающиеся за исключением обучающихся с ограниченными возможностями здоровья (ОВЗ) и детей-инвалидов, очная)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</si>
  <si>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</si>
  <si>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Численность обучающихся
(23.01.08 Слесарь по ремонту строительных машин, основное общее образование, очная)</t>
  </si>
  <si>
    <t>Численность обучающихся
(13.01.03 Электрослесарь по ремонту оборудования электростанций, среднее общее образование, очная)</t>
  </si>
  <si>
    <t>Количество человеко-часов
(18494 Слесарь по контрольно-измерительным приборам и автоматике,  обучающиеся за исключением обучающихся с ограниченными возможностями здоровья (ОВЗ) и детей-инвалидов, очная)</t>
  </si>
  <si>
    <t>Численность обучающихся
(23.02.01 Организация перевозок и управление на транспорте, основное общее образование, очная)</t>
  </si>
  <si>
    <t>Численность обучающихся
(23.01.06 Машинист дорожных и строительных машин, основное общее образование, очная)</t>
  </si>
  <si>
    <t>Численность обучающихся
(15.01.20 Слесарь по контрольно-измерительным приборам и автоматике, основное общее образование, очная)</t>
  </si>
  <si>
    <t>Численность обучающихся
(14621 Монтажник санитарно-технических, вентиляционых систем и оборудования, обучающиеся за исключением обучающихся с ограниченными возможностями здоровья (ОВЗ) и детей-инвалидов, очная)</t>
  </si>
  <si>
    <t>Численность обучающихся
(19.02.08 Технология мяса и мясных продуктов, основное общее образование, очная)</t>
  </si>
  <si>
    <t>Численность обучающихся
(19.02.08 Технология мяса и мясных продуктов, среднее общее образование, заочная)</t>
  </si>
  <si>
    <t>Численность обучающихся
(23.02.04 Техническая эксплуатация подъемно-транспортных, строительных, дорожных машин и оборудования (по отраслям), основное общее образование, очная)</t>
  </si>
  <si>
    <t>Численность обучающихся
(23.02.03 Техническое обслуживание и ремонт автомобильного транспорта, среднее общее образование, заочная)</t>
  </si>
  <si>
    <t>Численность обучающихся
(23.02.03 Техническое обслуживание и ремонт автомобильного транспорта, основное общее образование, очная)</t>
  </si>
  <si>
    <t>Численность обучающихся
(300 23.02.07 Техническое обслуживание и ремонт двигателей, систем и агрегатов автомобилей, основное общее образование, очная)</t>
  </si>
  <si>
    <t>Численность обучающихся
(08.02.09 Монтаж, наладка и эксплуатация электрооборудования промышленных и гражданских зданий, основное общее образование, очная)</t>
  </si>
  <si>
    <t>Численность обучающихся
(08.02.09 Монтаж, наладка и эксплуатация электрооборудования промышленных и гражданских зданий, физические лица с ОВЗ и инвалиды, основное общее образование, очная)</t>
  </si>
  <si>
    <t>Численность обучающихся
(15.02.01 Монтаж и техническая эксплуатация промышленного оборудования (по отраслям), основное общее образование, очная)</t>
  </si>
  <si>
    <t>Численность обучающихся
(19.01.14 Оператор процессов колбасного производства, основное общее образование, очная)</t>
  </si>
  <si>
    <t>Численность обучающихся
(43.01.01.Официант, бармен, среднее общее образование, очная)</t>
  </si>
  <si>
    <t>Численность обучающихся
(38.02.01 Экономика и бухгалтерский учет, основное общее образование, общее)</t>
  </si>
  <si>
    <t>Численность обучающихся
(38.02.01 Экономика и бухгалтерский учет (по отраслям), среднее общее образование, заочная)</t>
  </si>
  <si>
    <t>Численность обучающихся
(09.02.01 Компьютерные системы и комплексы, основное общее образование, очная)</t>
  </si>
  <si>
    <t>Численность обучающихся
(09.02.03 Программирование в компьютерных системах, основное общее образование, очная)</t>
  </si>
  <si>
    <t>Численность обучающихся
(09.02.07 Информационные системы и программирование, основное общее образование, очная)</t>
  </si>
  <si>
    <t xml:space="preserve"> Реализация образовательных программ среднего профессионального образования - программ подготовки специалистов среднего звена</t>
  </si>
  <si>
    <t>Численность обучающихся
(09.02.06 Сетевое и системное администрирование, основное общее образование, очная)</t>
  </si>
  <si>
    <t>Численность обучающихся
(21.02.15 Открытые горные работы, основное общее образование, очная)</t>
  </si>
  <si>
    <t>Численность обучающихся
(21.02.15 Открытые горные работы, среднее общее образование, очная)</t>
  </si>
  <si>
    <t>Численность обучающихся
(21.02.15 Открытые горные работы, среднее общее образование, заочная)</t>
  </si>
  <si>
    <t>Численность обучающихся
(21.02.17 Подземная разработка месторождений полезных ископаемых, основное общее образование, очная)</t>
  </si>
  <si>
    <t>Численность обучающихся
(21.02.17 Подземная разработка месторождений полезных ископаемых, среднее общее образование, заочная)</t>
  </si>
  <si>
    <t>Численность обучающихся
(21.02.18 Обогащение полезных ископаемых, основное общее образование, заочная)</t>
  </si>
  <si>
    <t>Численность обучающихся
(21.02.18 Обогащение полезных ископаемых, среднее общее образование, очная)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</si>
  <si>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заочное)</t>
  </si>
  <si>
    <t>Численность обучающихся
(13.02.11 Техническая эксплуатация и обслуживание электрического и электромеханического оборудования (в горной отрасли), основное общее образование, заочная)</t>
  </si>
  <si>
    <t>Численность обучающихся
(21.02.13 Геологическая съемка, поиски и разведка месторождений полезных ископаемых, основное общее образование, очная)</t>
  </si>
  <si>
    <t>Численность обучающихся
(21.02.14 Маркшейдерское дело, основное общее образование, очная)</t>
  </si>
  <si>
    <t>Численность обучающихся
(21.02.14 Маркшейдерское дело, среднее общее образование, очная)</t>
  </si>
  <si>
    <t>Численность обучающихся
(21.02.14 Маркшейдерское дело, среднее общее образование, заочная)</t>
  </si>
  <si>
    <t>Численность обучающихся
(20.02.01 Рациональное использование природохозяйственных комплексов, среднее общее образование, очная)</t>
  </si>
  <si>
    <t>Численность обучающихся
(44.02.06. Профессиональное обучение (по отраслям), основное общее образование, очная)</t>
  </si>
  <si>
    <t>Численность обучающихся
(44.02.06. Профессиональное обучение (по отраслям), среднее общее образование, заочная)</t>
  </si>
  <si>
    <t>Численность обучающихся
(19.02.10 Технология продукции общественного питания, основное общее образование, очная)</t>
  </si>
  <si>
    <t>Численность обучающихся
(19.02.10 Технология продукции общественного питания, среднее общее образование, заочная)</t>
  </si>
  <si>
    <t>Численность обучающихся
(54.02.01 Дизайн (по отраслям), основное общее образование, очная)</t>
  </si>
  <si>
    <t>Численность обучающихся
(21.02.06 Информационные системы обеспечения градостроительной деятельности, основное общее образование, очная)</t>
  </si>
  <si>
    <t>Численность обучающихся
(21.02.06 Информационные системы обеспечения градостроительной деятельности, среднее общее образование, заочная)</t>
  </si>
  <si>
    <t>Численность обучающихся
(43.05.15 Поварское и кондитерское дело, основное общее образование, очная)</t>
  </si>
  <si>
    <t>Численность обучающихся
( 36.02.01 Ветеринария, физические лица за исключением лиц с ОВЗ и инвалидов, основное общее образование, очная)</t>
  </si>
  <si>
    <t>Численность обучающихся
(36.02.01 Ветеринария, основное общее образование, очная)</t>
  </si>
  <si>
    <t>Численность обучающихся
(36.02.01 Ветеринария, среднее общее образование, заочная)</t>
  </si>
  <si>
    <t>Численность обучающихся
(35.02.08 Электрификация и автоматизация с/х, основное общее образование, очная)</t>
  </si>
  <si>
    <t>Численность обучающихся
(35.02.08 Электрификация и автоматизация с/х, среднее общее образование, заочная)</t>
  </si>
  <si>
    <t>Численность обучающихся
(09.02.02  Компьютерные сети,  основное общее образование, очная)</t>
  </si>
  <si>
    <t>Численность обучающихся
(09.02.02  Компьютерные сети, среднее общее образование, очная)</t>
  </si>
  <si>
    <t>Численность обучающихся
(35.02.05 Агрономия, основное общее образование, очная)</t>
  </si>
  <si>
    <t>Численность обучающихся
(35.02.01 Агрономия, среднее общее образование, заочная)</t>
  </si>
  <si>
    <t>Численность обучающихся
(36.02.02 Зоотехния, среднее общее образование, заочная)</t>
  </si>
  <si>
    <t>Численность обучающихся
(19.02.03 Технология хлеба,кондитерских и макаронных изделий,  основное общее образование, очная)</t>
  </si>
  <si>
    <t>Численность обучающихся
(19.02.03 Технология хлеба,кондитерских и макаронных изделий, среднее общее образование, заочная)</t>
  </si>
  <si>
    <t>Численность обучающихся
(19.02.07 Технология молока и молочных продуктов, основное общее образование, очная)</t>
  </si>
  <si>
    <t>Численность обучающихся
(19.02.07 Технология молока и молочных продуктов, заочная)</t>
  </si>
  <si>
    <t>Численность обучающихся
(35.02.15 Кинология, основное общее образование, очная)</t>
  </si>
  <si>
    <t>Численность обучающихся
(251 35.01.01 Мастер по лесному хозяйству, основное общее образование, очная)</t>
  </si>
  <si>
    <t>Численность обучающихся
(36.01.01 Младший ветеринарный фельдшер, основное общее образование, очная)</t>
  </si>
  <si>
    <t>Численность обучающихся
(11949 Животновод,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</si>
  <si>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(15415 Овощевод, обучающиеся за исключением обучающихся с ограниченными возможностями здоровья (ОВЗ) и детей-инвалидов, очная)</t>
  </si>
  <si>
    <t>Численность обучающихся
(44.02.01 Дошкольное образование,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</si>
  <si>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специалистов среднего звена </t>
  </si>
  <si>
    <t>Численность обучающихся
(44.02.01. Дошкольное образование, среднее общее образование, заочная)</t>
  </si>
  <si>
    <t>Численность обучающихся
(44.02.01. Дошкольное образование, среднее общее образование, заочная с применением дистанционных образовательных технологий)</t>
  </si>
  <si>
    <t>Численность обучающихся
(44.02.04 Специальное дошкольное образование, основное общее образование, очная)</t>
  </si>
  <si>
    <t>Численность обучающихся
(54.02.06 Изобразительное искусство и черчение, основное общее образование, очная)</t>
  </si>
  <si>
    <t>Численность обучающихся
(44.02.02 Преподавание в начальных классах, основное общее образование, очная)</t>
  </si>
  <si>
    <t>Численность обучающихся
(44.02.02 Преподавание в начальных классах, среднее общее образование, очная)</t>
  </si>
  <si>
    <t>Численность обучающихся
(13.02.03 Электрические станции, сети и системы, основное общее образование, очная)</t>
  </si>
  <si>
    <t>Численность обучающихся
(13.02.03 Электрические станции, сети и системы, среднее общее образование, заочная)</t>
  </si>
  <si>
    <t>Численность обучающихся
(35.02.01 Лесное и лесопарковое хозяйство, основное общее образование, очная)</t>
  </si>
  <si>
    <t>Численность обучающихся
(35.02.01 Лесное и лесопарковое хозяйство, среднее общее образование, заочная)</t>
  </si>
  <si>
    <t>Численность обучающихся
(35.02.03 Технология деревообработки, основное общее образование, очная)</t>
  </si>
  <si>
    <t>Численность обучающихся
(35.02.12 Садово-парковое и ландшафтное строительство, основное общее образование, очная)</t>
  </si>
  <si>
    <t>Численность обучающихся
(49.02.01 Физическая культура, основное общее образование, очная)</t>
  </si>
  <si>
    <t>Численность обучающихся
(13.02.06 Релейная защита и автоматизация электроэнергетических систем, среднее общее образование, очная)</t>
  </si>
  <si>
    <t>Численность обучающихся
(21.02.08 Прикладная геодезия, среднее общее образование, очная)</t>
  </si>
  <si>
    <t>Численность обучающихся
(38.02.02 Страховое дело (по отраслям), среднее общее образование, очная)</t>
  </si>
  <si>
    <t>Численность обучающихся
(13.02.02 Теплоснабжение и теплотехническое оборудование, основное общее образование, очная)</t>
  </si>
  <si>
    <t>Численность обучающихся
(13.02.02 Теплоснабжение и теплотехническое оборудование, среднее общее образование, заочная)</t>
  </si>
  <si>
    <t>Количество человеко-часов
(17530 Рабочий зеленого строительства,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</si>
  <si>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(16199 Оператор ЭВМ И ВМ,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</si>
  <si>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(19258 Уборщик производственных и служебных помещений, обучающиеся с ограниченными возможностями здоровья (ОВЗ), очная)</t>
  </si>
  <si>
    <t>Численность обучающихся
(07.02.01 Архитектура, основное общее образование, очная)</t>
  </si>
  <si>
    <t>Численность обучающихся
(08.02.01 Строительство и эксплуатация зданий и сооружений, основное общее образование, очная)</t>
  </si>
  <si>
    <t>Численность обучающихся
(08.02.01 Строительство и эксплуатация зданий и сооружений, среднее общее образование, очная)</t>
  </si>
  <si>
    <t>Численность обучающихся
(08.02.05 Строительство и эксплуатация автомобильных дорог и аэродромов, основное общее образование, очная)</t>
  </si>
  <si>
    <t>Численность обучающихся
(08.02.07 Монтаж и эксплуатация внутренних сантехнических устройств, кондиционирования воздуха и вентиляции, основное общее образование, очная)</t>
  </si>
  <si>
    <t>Численность обучающихся
(08.02.11 Управление, эксплуатация и обслуживание многоквартирного дома, основное общее образование, очная)</t>
  </si>
  <si>
    <t>Численность обучающихся
(21.02.05 Земельно‑имущественные отношения, основное общее образование, очная)</t>
  </si>
  <si>
    <t>Численность обучающихся
(21.02.05 Земельно‑имущественные отношения, среднее общее образование, заочная)</t>
  </si>
  <si>
    <t>Численность обучающихся
(11.02.15 Инфокоммуникационные сети и системы связи, среднее общее образование, очная)</t>
  </si>
  <si>
    <t>Численность обучающихся
(08.01.06 Мастер сухого строительства, основное общее образование, очная)</t>
  </si>
  <si>
    <t>Численность обучающихся
(08.01.07 Мастер общестроительных работ, основное общее образование, очная)</t>
  </si>
  <si>
    <t>Численность обучающихся
(08.01.10 Мастер жилищно-коммунального хозяйства, основное общее образование, очная)</t>
  </si>
  <si>
    <t>Численность обучающихся
(11.01.05 Монтажник связи, основное общее образование, очная)</t>
  </si>
  <si>
    <t>Численность обучающихся
(35.02.16 Эксплуатация и ремонт сельскохозяйственной техники и оборудования, физические лица за исключением лиц с ОВЗ и инвалидов, очная)</t>
  </si>
  <si>
    <t>Количество человеко-часов
(26527 Социальный работник, обучающиеся за исключением обучающихся с ограниченными возможностями здоровья (ОВЗ) и детей-инвалидов, очная)</t>
  </si>
  <si>
    <t>Численность обучающихся
(53.02.01 Музыкальное образование, основное общее образование, очная)</t>
  </si>
  <si>
    <t>Численность обучающихся
(44.02.05 Коррекционная педагогика в начальном образовании, основное общее образование, очная)</t>
  </si>
  <si>
    <t>Численность обучающихся
(44.02.03 Педагогика дополнительного образования, основное общее образование, очная)</t>
  </si>
  <si>
    <t>Численность обучающихся
(27.02.04 Автоматические системы управления, основное общее образование, очное)</t>
  </si>
  <si>
    <t>Численность обучающихся
(27.02.04 Автоматические системы управления, среднее общее образование, заочная)</t>
  </si>
  <si>
    <t>Численность обучающихся
(15.02.07 Автоматизация технологических процессов и производств, основное общее образование, очная)</t>
  </si>
  <si>
    <t>Численность обучающихся
(21.01.08 Машинист на открытых горных работах, основное общее образование, очная)</t>
  </si>
  <si>
    <t>Численность обучающихся
(15.01.25 Станочник (металлообработка), основное общее образование, очная)</t>
  </si>
  <si>
    <t>Численность обучающихся
(21.01.16 Обогатитель полезных ископаемых, основное общее образование, очная)</t>
  </si>
  <si>
    <t xml:space="preserve">Реализация образовательных программ среднего профессионального образования - программ подготовки квалифицированных рабочих, служащих </t>
  </si>
  <si>
    <t>Численность обучающихся
(39.02.01 Социальная работа, среднее общее образование, заочная)</t>
  </si>
  <si>
    <t>Численность обучающихся
(39.02.02 Организация сурдокоммуникации, среднее общее образование, заочное)</t>
  </si>
  <si>
    <t>Численность обучающихся
(амбулаторно)</t>
  </si>
  <si>
    <t>человеко-день</t>
  </si>
  <si>
    <t>Число человеко-дней пребывания
(в каникулярное время с круглосуточным пребыванием)</t>
  </si>
  <si>
    <t>Содержание лиц из числа детей-сирот и детей, оставшихся без попечения родителей, завершивших пребывание в организации для детей-сирот, но не старше 23 лет</t>
  </si>
  <si>
    <t xml:space="preserve"> Численность граждан, получивших социальные услуги
(очная)</t>
  </si>
  <si>
    <t>Уникальный номер регионального или общероссийского перечня государственных услуг (работ):
552315О.99.0.БА83АА04000</t>
  </si>
  <si>
    <t>Численность обучающихся
(обучающиеся с ограниченными возможностями здоровья (ОВЗ))</t>
  </si>
  <si>
    <t>Численность обучающихся
(с с задержкой психического развития, очная)</t>
  </si>
  <si>
    <t>Численность обучающихся
( с расстройствами аутистического спектра, очная)</t>
  </si>
  <si>
    <t>Численность обучающихся
(обучающиеся с ограниченными возможностями здоровья (ОВЗ), очная)</t>
  </si>
  <si>
    <t>Численность обучающихся
(обучающиеся с ограниченными возможностями здоровья (ОВЗ), адаптивная, очная)</t>
  </si>
  <si>
    <t>Численность обучающихся
(дети-инвалиды, адаптированная образовательная программа, очная с применением сетевой формы реализации и дистанционных образовательных технологий)</t>
  </si>
  <si>
    <t>Численность обучающихся
(начальное общее образование, в организации, осуществляющей образовательную деятельность)</t>
  </si>
  <si>
    <t>Уникальный номер регионального или общероссийского перечня государственных услуг (работ):
880900О.99.0.ББ00АА00000</t>
  </si>
  <si>
    <t>Уникальный номер регионального или общероссийского перечня государственных услуг (работ):
801011О.99.0.БВ24АВ42000</t>
  </si>
  <si>
    <t>Численность обучающихся
(адаптированная образовательная программа, обучающиеся с ограниченными возможностями здоровья (ОВЗ), от 3 лет до 8 лет, очная, группа полного дня)</t>
  </si>
  <si>
    <t>Численность обучающихся
(адаптированная образовательная программа, дети-инвалиды, от 3 лет до 8 лет, очная, группа кратковременного пребывания детей)</t>
  </si>
  <si>
    <t>Количество человеко-часов
(технический, очная)</t>
  </si>
  <si>
    <t>Количество человеко-часов 
(очная)</t>
  </si>
  <si>
    <t>Уникальный номер регионального или общероссийского перечня государственных услуг (работ):
801012О.99.0.БА81АЭ92001</t>
  </si>
  <si>
    <t>Уникальный номер регионального или общероссийского перечня государственных услуг (работ):
801012О.99.0.БА81АА00001</t>
  </si>
  <si>
    <t>Численность обучающихся
(обучающиеся с ограниченными возможностями здоровья (ОВЗ), адаптированная образовательная программа, очная)</t>
  </si>
  <si>
    <t xml:space="preserve"> Реализация основных общеобразовательных программ начального общего образования</t>
  </si>
  <si>
    <t>Число человеко-дней пребывания
( в каникулярное время с круглосуточным пребыванием)</t>
  </si>
  <si>
    <t>Численность обучающихся
(обучающиеся с ограниченными возможностями здоровья (ОВЗ), адаптированная образовательная программа, очно-заочная)</t>
  </si>
  <si>
    <t>Численность обучающихся
(дети-инвалиды, адаптированная образовательная программа, очная)</t>
  </si>
  <si>
    <t>Численность обучающихся
(дошкольное образование, в центре психолого-педагогической, медицинской и социальной помощи)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</si>
  <si>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</si>
  <si>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Численность обучающихся
(основное общее образование, в центре психолого-педагогической, медицинской и социальной помощи)</t>
  </si>
  <si>
    <t>Численность обучающихся
(среднее общее образование, в центре психолого-педагогической, медицинской и социальной помощи)</t>
  </si>
  <si>
    <t>Число обучающихся, их родителей (законных представителей) и педагогических работников
(среднее общее образование)</t>
  </si>
  <si>
    <t>Число обучающихся, их родителей (законных представителей) и педагогических работников
(среднее общее образование, в центре психолого-педагогической, медицинской и социальной помощи)</t>
  </si>
  <si>
    <t>Число обучающихся, их родителей (законных представителей) и педагогических работников
(дошкольное образование, в центре психолого-педагогической, медицинской и социальной помощи)</t>
  </si>
  <si>
    <t>Число обучающихся, их родителей (законных представителей) и педагогических работников
(начальное общее образование)</t>
  </si>
  <si>
    <t>Число обучающихся, их родителей (законных представителей) и педагогических работников
(начальное общее образование, в центре психолого-педагогической, медицинской и социальной помощи)</t>
  </si>
  <si>
    <t>Число обучающихся, их родителей (законных представителей) и педагогических работников
(основное общее образование)</t>
  </si>
  <si>
    <t>Число обучающихся, их родителей (законных представителей) и педагогических работников
(основное общее образование, вцентре психолого-педагогической, медицинской и социальной помощи)</t>
  </si>
  <si>
    <t>Численность обучающихся
(начальное общее образование, В центре психолого-педагогической, медицинской и социальной помощи)</t>
  </si>
  <si>
    <t>Численность обучающихся
(основное общее образование,  в центре психолого-педагогической, медицинской и социальной помощи)</t>
  </si>
  <si>
    <t>Уникальный номер регионального или общероссийского перечня государственных услуг (работ):
804200О.99.0ББ52АС32000</t>
  </si>
  <si>
    <t>Количество человеко-часов
(cоциально-педагогической, дети с ограниченными возможностями здоровья (ОВЗ), обучающиеся по состоянию здоровья по месту жительства, адаптированная образовательная программа, очная)</t>
  </si>
  <si>
    <t>Число человеко-дней пребывания
(физические лица льготных категорий, определяемых учредителем, от 3 лет до 5 лет)</t>
  </si>
  <si>
    <t>Число человеко-дней пребывания
(физические лица льготных категорий, определяемых учредителем, от 5 лет)</t>
  </si>
  <si>
    <t>Число посещений
(в части профилактики0</t>
  </si>
  <si>
    <t>Количество человеко-часов
(технической, очная)</t>
  </si>
  <si>
    <t>Количество человеко-часов
(этап начальной подготовки,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</si>
  <si>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(тренировочный этап, Обучающиеся за исключением обучающихся с ограниченными возможностями здоровья (ОВЗ) и детей-инвалидов, очная)</t>
  </si>
  <si>
    <t>Человеко-часов
(этап совершенствования спортивного мастерства, обучающиеся за исключением обучающихся с ограниченными возможностями здоровья (ОВЗ) и детей-инвалидов, очная)</t>
  </si>
  <si>
    <t>Количество человеко-часов
( социально-педагогической, очная)</t>
  </si>
  <si>
    <t>Количество человеко-часов
(физкультурно-спортивной, дети за исключением детей с ограниченными возможностями здоровья (ОВЗ) и детей-инвалидов, очная)</t>
  </si>
  <si>
    <t>Количество человеко-часов
(туристско-краеведческой, очная)</t>
  </si>
  <si>
    <t>Количество человеко-часов
(естественнонаучной, очная)</t>
  </si>
  <si>
    <t>Число посещений
(амбулаторно)</t>
  </si>
  <si>
    <t>Количество человеко-часов
(очная с применением дистанционных образовательных технологий)</t>
  </si>
  <si>
    <t>Количество экземпляров
(иные печатные периодические издания, в бумажном виде)</t>
  </si>
  <si>
    <t>Количество ИС обеспечения типовой деятельности</t>
  </si>
  <si>
    <t>Число обучающихся
(научно-методическое, аналитическое сопровождение, консультационная поддержка образовательной и инновационной деятельности)</t>
  </si>
  <si>
    <t>Количество мероприятий
(проведение экспертизы профессиональной деятельности педагогов, проектов, конкурсных материалов, проведение мониторингов в соответствии с планом мероприятий Минобрнауки России, Минобразования Забайкальского края)</t>
  </si>
  <si>
    <t>Количество разработанных документов
(технологическое обеспечение и ведение региональной информационной системы образовательных результатов, информационное сопровождение)</t>
  </si>
  <si>
    <t>Число обучающихся
(проходящие обучение в специальных учебно-воспитательных учреждениях закрытого типа, очная)</t>
  </si>
  <si>
    <t>Число обучающихся
(обучающиеся, за исключением детей-инвалидов и инвалидов, адаптированная образовательная программа, обучение в специальных учебно-воспитательных учреждениях закрытого типа, очная)</t>
  </si>
  <si>
    <t>Число обучающихся
(адаптированная образовательная программа, проходящие обучение в специальных учебно-воспитательных учреждениях закрытого типа, очная)</t>
  </si>
  <si>
    <t>Число обращений
(амбулаторно)</t>
  </si>
  <si>
    <t>Уникальный номер регионального или общероссийского перечня государственных услуг (работ):
692000.Р.24.1.АЧ200003000</t>
  </si>
  <si>
    <t>Код (коды) бюджетной
классификации
026 0709 1490111455 611</t>
  </si>
  <si>
    <t xml:space="preserve">Уникальный номер регионального или общероссийского перечня государственных услуг (работ):
493900.Р.24.1.АШ150002000 </t>
  </si>
  <si>
    <t>Число обучающихся, их родителей (законных представителей) и педагогических работников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</si>
</sst>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₽_-;\-* #,##0.00\ _₽_-;_-* &quot;-&quot;??\ _₽_-;_-@_-"/>
    <numFmt numFmtId="165" formatCode="#,##0.00;\-#,##0.00;"/>
    <numFmt numFmtId="166" formatCode="#,##0_ ;\-#,##0\ "/>
    <numFmt numFmtId="167" formatCode="#,##0.0"/>
    <numFmt numFmtId="168" formatCode="0.0"/>
    <numFmt numFmtId="169" formatCode="#,##0.0\ _₽"/>
  </numFmts>
  <fonts count="2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7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4" fillId="0" borderId="8">
      <alignment horizontal="left" vertical="center" wrapText="1"/>
    </xf>
    <xf numFmtId="0" fontId="15" fillId="0" borderId="8">
      <alignment horizontal="left" vertical="center" wrapText="1"/>
    </xf>
  </cellStyleXfs>
  <cellXfs count="356">
    <xf numFmtId="0" fontId="0" fillId="0" borderId="0" xfId="0"/>
    <xf numFmtId="0" fontId="4" fillId="0" borderId="0" xfId="0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ont="1"/>
    <xf numFmtId="168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167" fontId="9" fillId="2" borderId="5" xfId="0" applyNumberFormat="1" applyFont="1" applyFill="1" applyBorder="1" applyAlignment="1">
      <alignment horizontal="center" vertical="center" wrapText="1"/>
    </xf>
    <xf numFmtId="167" fontId="9" fillId="2" borderId="5" xfId="1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167" fontId="12" fillId="2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167" fontId="11" fillId="2" borderId="1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vertical="center" wrapText="1"/>
    </xf>
    <xf numFmtId="49" fontId="10" fillId="2" borderId="3" xfId="0" applyNumberFormat="1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168" fontId="9" fillId="2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0" fontId="9" fillId="2" borderId="1" xfId="0" applyFont="1" applyFill="1" applyBorder="1" applyAlignment="1">
      <alignment horizontal="center"/>
    </xf>
    <xf numFmtId="3" fontId="0" fillId="0" borderId="0" xfId="0" applyNumberFormat="1"/>
    <xf numFmtId="0" fontId="9" fillId="2" borderId="0" xfId="0" applyFont="1" applyFill="1" applyAlignment="1">
      <alignment horizontal="center" vertical="center" wrapText="1"/>
    </xf>
    <xf numFmtId="0" fontId="9" fillId="0" borderId="0" xfId="0" applyFont="1"/>
    <xf numFmtId="49" fontId="10" fillId="0" borderId="0" xfId="0" applyNumberFormat="1" applyFont="1" applyBorder="1" applyAlignment="1">
      <alignment vertical="center" wrapText="1"/>
    </xf>
    <xf numFmtId="167" fontId="9" fillId="2" borderId="1" xfId="0" applyNumberFormat="1" applyFont="1" applyFill="1" applyBorder="1" applyAlignment="1">
      <alignment horizontal="center" wrapText="1"/>
    </xf>
    <xf numFmtId="0" fontId="0" fillId="3" borderId="0" xfId="0" applyFont="1" applyFill="1"/>
    <xf numFmtId="0" fontId="0" fillId="3" borderId="0" xfId="0" applyFill="1"/>
    <xf numFmtId="0" fontId="0" fillId="0" borderId="0" xfId="0" applyFont="1" applyBorder="1"/>
    <xf numFmtId="3" fontId="9" fillId="2" borderId="1" xfId="1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  <xf numFmtId="167" fontId="11" fillId="2" borderId="1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67" fontId="24" fillId="2" borderId="1" xfId="0" applyNumberFormat="1" applyFont="1" applyFill="1" applyBorder="1" applyAlignment="1">
      <alignment horizontal="center" vertical="center"/>
    </xf>
    <xf numFmtId="167" fontId="24" fillId="2" borderId="1" xfId="0" applyNumberFormat="1" applyFont="1" applyFill="1" applyBorder="1" applyAlignment="1">
      <alignment horizontal="center" vertical="center" wrapText="1"/>
    </xf>
    <xf numFmtId="167" fontId="11" fillId="2" borderId="7" xfId="1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center" wrapText="1"/>
    </xf>
    <xf numFmtId="167" fontId="9" fillId="2" borderId="1" xfId="1" applyNumberFormat="1" applyFont="1" applyFill="1" applyBorder="1" applyAlignment="1">
      <alignment horizontal="center" wrapText="1"/>
    </xf>
    <xf numFmtId="0" fontId="12" fillId="2" borderId="1" xfId="2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0" fillId="2" borderId="0" xfId="0" applyFill="1"/>
    <xf numFmtId="168" fontId="9" fillId="2" borderId="1" xfId="1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167" fontId="24" fillId="2" borderId="2" xfId="0" applyNumberFormat="1" applyFont="1" applyFill="1" applyBorder="1" applyAlignment="1">
      <alignment horizontal="center" vertical="center"/>
    </xf>
    <xf numFmtId="167" fontId="24" fillId="2" borderId="2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wrapText="1"/>
    </xf>
    <xf numFmtId="167" fontId="11" fillId="2" borderId="2" xfId="0" applyNumberFormat="1" applyFont="1" applyFill="1" applyBorder="1" applyAlignment="1">
      <alignment horizontal="center" vertical="center"/>
    </xf>
    <xf numFmtId="167" fontId="9" fillId="2" borderId="2" xfId="1" applyNumberFormat="1" applyFont="1" applyFill="1" applyBorder="1" applyAlignment="1">
      <alignment horizontal="center" vertical="center" wrapText="1"/>
    </xf>
    <xf numFmtId="167" fontId="11" fillId="2" borderId="2" xfId="0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168" fontId="9" fillId="2" borderId="2" xfId="1" applyNumberFormat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68" fontId="9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 wrapText="1"/>
    </xf>
    <xf numFmtId="167" fontId="9" fillId="2" borderId="17" xfId="0" applyNumberFormat="1" applyFont="1" applyFill="1" applyBorder="1" applyAlignment="1">
      <alignment horizontal="center" wrapText="1"/>
    </xf>
    <xf numFmtId="167" fontId="9" fillId="2" borderId="17" xfId="1" applyNumberFormat="1" applyFont="1" applyFill="1" applyBorder="1" applyAlignment="1">
      <alignment horizontal="center" vertical="center" wrapText="1"/>
    </xf>
    <xf numFmtId="167" fontId="12" fillId="2" borderId="17" xfId="0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0" fontId="21" fillId="2" borderId="0" xfId="0" applyFont="1" applyFill="1" applyBorder="1"/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7" fontId="9" fillId="2" borderId="17" xfId="0" applyNumberFormat="1" applyFont="1" applyFill="1" applyBorder="1" applyAlignment="1">
      <alignment horizontal="center" vertical="center" wrapText="1"/>
    </xf>
    <xf numFmtId="167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167" fontId="12" fillId="2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7" fontId="20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7" xfId="0" applyNumberFormat="1" applyFont="1" applyFill="1" applyBorder="1" applyAlignment="1">
      <alignment horizontal="center" vertical="top" wrapText="1"/>
    </xf>
    <xf numFmtId="49" fontId="9" fillId="2" borderId="6" xfId="0" applyNumberFormat="1" applyFont="1" applyFill="1" applyBorder="1" applyAlignment="1">
      <alignment horizontal="center" vertical="top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2" fontId="9" fillId="2" borderId="17" xfId="1" applyNumberFormat="1" applyFont="1" applyFill="1" applyBorder="1" applyAlignment="1">
      <alignment horizontal="center" vertical="center" wrapText="1"/>
    </xf>
    <xf numFmtId="2" fontId="9" fillId="2" borderId="14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5" fillId="2" borderId="9" xfId="13" applyFont="1" applyFill="1" applyBorder="1" applyAlignment="1">
      <alignment horizontal="center" vertical="center" wrapText="1"/>
    </xf>
    <xf numFmtId="0" fontId="15" fillId="2" borderId="10" xfId="13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0" fontId="15" fillId="2" borderId="11" xfId="13" applyFont="1" applyFill="1" applyBorder="1" applyAlignment="1">
      <alignment horizontal="center" vertical="center" wrapText="1"/>
    </xf>
    <xf numFmtId="0" fontId="15" fillId="2" borderId="12" xfId="13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7" fontId="9" fillId="2" borderId="5" xfId="0" applyNumberFormat="1" applyFont="1" applyFill="1" applyBorder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 wrapText="1"/>
    </xf>
    <xf numFmtId="167" fontId="12" fillId="2" borderId="5" xfId="0" applyNumberFormat="1" applyFont="1" applyFill="1" applyBorder="1" applyAlignment="1">
      <alignment horizontal="center" vertical="center" wrapText="1"/>
    </xf>
    <xf numFmtId="167" fontId="12" fillId="2" borderId="6" xfId="0" applyNumberFormat="1" applyFont="1" applyFill="1" applyBorder="1" applyAlignment="1">
      <alignment horizontal="center" vertical="center" wrapText="1"/>
    </xf>
    <xf numFmtId="167" fontId="9" fillId="2" borderId="17" xfId="0" applyNumberFormat="1" applyFont="1" applyFill="1" applyBorder="1" applyAlignment="1">
      <alignment horizontal="center" vertical="center" wrapText="1"/>
    </xf>
    <xf numFmtId="167" fontId="9" fillId="2" borderId="1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7" fontId="9" fillId="2" borderId="5" xfId="0" applyNumberFormat="1" applyFont="1" applyFill="1" applyBorder="1" applyAlignment="1">
      <alignment horizontal="center" vertical="center"/>
    </xf>
    <xf numFmtId="167" fontId="9" fillId="2" borderId="6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0" fontId="19" fillId="2" borderId="3" xfId="0" applyNumberFormat="1" applyFont="1" applyFill="1" applyBorder="1" applyAlignment="1" applyProtection="1">
      <alignment horizontal="center" vertical="center"/>
    </xf>
    <xf numFmtId="49" fontId="12" fillId="2" borderId="5" xfId="2" applyNumberFormat="1" applyFont="1" applyFill="1" applyBorder="1" applyAlignment="1" applyProtection="1">
      <alignment horizontal="center" vertical="center"/>
    </xf>
    <xf numFmtId="0" fontId="12" fillId="2" borderId="5" xfId="2" applyNumberFormat="1" applyFont="1" applyFill="1" applyBorder="1" applyAlignment="1" applyProtection="1">
      <alignment horizontal="center" vertical="top" wrapText="1"/>
    </xf>
    <xf numFmtId="0" fontId="12" fillId="2" borderId="5" xfId="2" applyNumberFormat="1" applyFont="1" applyFill="1" applyBorder="1" applyAlignment="1" applyProtection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 applyProtection="1">
      <alignment horizontal="center" vertical="center"/>
    </xf>
    <xf numFmtId="0" fontId="12" fillId="2" borderId="2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0" fontId="12" fillId="2" borderId="7" xfId="2" applyNumberFormat="1" applyFont="1" applyFill="1" applyBorder="1" applyAlignment="1" applyProtection="1">
      <alignment horizontal="center" vertical="top" wrapText="1"/>
    </xf>
    <xf numFmtId="0" fontId="12" fillId="2" borderId="7" xfId="2" applyNumberFormat="1" applyFont="1" applyFill="1" applyBorder="1" applyAlignment="1" applyProtection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1" xfId="6" applyNumberFormat="1" applyFont="1" applyFill="1" applyBorder="1" applyAlignment="1" applyProtection="1">
      <alignment horizontal="center" vertical="center"/>
    </xf>
    <xf numFmtId="167" fontId="12" fillId="2" borderId="1" xfId="0" applyNumberFormat="1" applyFont="1" applyFill="1" applyBorder="1" applyAlignment="1" applyProtection="1">
      <alignment horizontal="center" vertical="center"/>
    </xf>
    <xf numFmtId="167" fontId="12" fillId="2" borderId="1" xfId="7" applyNumberFormat="1" applyFont="1" applyFill="1" applyBorder="1" applyAlignment="1">
      <alignment horizontal="center" vertical="center"/>
    </xf>
    <xf numFmtId="167" fontId="12" fillId="2" borderId="2" xfId="7" applyNumberFormat="1" applyFont="1" applyFill="1" applyBorder="1" applyAlignment="1">
      <alignment horizontal="center" vertical="center"/>
    </xf>
    <xf numFmtId="2" fontId="12" fillId="2" borderId="1" xfId="2" applyNumberFormat="1" applyFont="1" applyFill="1" applyBorder="1" applyAlignment="1" applyProtection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center" vertical="center"/>
    </xf>
    <xf numFmtId="165" fontId="12" fillId="2" borderId="1" xfId="7" applyNumberFormat="1" applyFont="1" applyFill="1" applyBorder="1" applyAlignment="1">
      <alignment horizontal="center" vertical="center"/>
    </xf>
    <xf numFmtId="165" fontId="12" fillId="2" borderId="2" xfId="7" applyNumberFormat="1" applyFont="1" applyFill="1" applyBorder="1" applyAlignment="1">
      <alignment horizontal="center" vertical="center"/>
    </xf>
    <xf numFmtId="0" fontId="12" fillId="2" borderId="6" xfId="2" applyNumberFormat="1" applyFont="1" applyFill="1" applyBorder="1" applyAlignment="1" applyProtection="1">
      <alignment horizontal="center" vertical="center" wrapText="1"/>
    </xf>
    <xf numFmtId="0" fontId="12" fillId="2" borderId="4" xfId="8" quotePrefix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4" xfId="8" applyFont="1" applyFill="1" applyBorder="1" applyAlignment="1">
      <alignment horizontal="center" vertical="center" wrapText="1"/>
    </xf>
    <xf numFmtId="49" fontId="12" fillId="2" borderId="1" xfId="3" applyNumberFormat="1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 applyProtection="1">
      <alignment horizontal="center" vertical="center"/>
    </xf>
    <xf numFmtId="3" fontId="12" fillId="2" borderId="2" xfId="2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2" fillId="2" borderId="4" xfId="9" applyFont="1" applyFill="1" applyBorder="1" applyAlignment="1">
      <alignment horizontal="center" vertical="center" wrapText="1"/>
    </xf>
    <xf numFmtId="0" fontId="12" fillId="2" borderId="4" xfId="10" applyFont="1" applyFill="1" applyBorder="1" applyAlignment="1">
      <alignment horizontal="center" vertical="center" wrapText="1"/>
    </xf>
    <xf numFmtId="49" fontId="13" fillId="2" borderId="1" xfId="11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/>
    </xf>
    <xf numFmtId="0" fontId="12" fillId="2" borderId="6" xfId="2" applyNumberFormat="1" applyFont="1" applyFill="1" applyBorder="1" applyAlignment="1" applyProtection="1">
      <alignment horizontal="center" vertical="top" wrapText="1"/>
    </xf>
    <xf numFmtId="0" fontId="12" fillId="2" borderId="4" xfId="12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3" fillId="2" borderId="0" xfId="0" applyNumberFormat="1" applyFont="1" applyFill="1" applyBorder="1" applyAlignment="1">
      <alignment vertical="center" wrapText="1"/>
    </xf>
    <xf numFmtId="49" fontId="9" fillId="2" borderId="17" xfId="0" applyNumberFormat="1" applyFont="1" applyFill="1" applyBorder="1" applyAlignment="1">
      <alignment horizontal="center" vertical="top" wrapText="1"/>
    </xf>
    <xf numFmtId="0" fontId="15" fillId="2" borderId="9" xfId="13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66" fontId="9" fillId="2" borderId="2" xfId="1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top" wrapText="1"/>
    </xf>
    <xf numFmtId="0" fontId="15" fillId="2" borderId="7" xfId="13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 wrapText="1"/>
    </xf>
    <xf numFmtId="166" fontId="9" fillId="2" borderId="6" xfId="1" applyNumberFormat="1" applyFont="1" applyFill="1" applyBorder="1" applyAlignment="1">
      <alignment horizontal="center" vertical="center" wrapText="1"/>
    </xf>
    <xf numFmtId="166" fontId="9" fillId="2" borderId="14" xfId="1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5" fillId="2" borderId="5" xfId="13" applyNumberFormat="1" applyFont="1" applyFill="1" applyBorder="1" applyAlignment="1" applyProtection="1">
      <alignment horizontal="center" vertical="center" wrapText="1"/>
    </xf>
    <xf numFmtId="0" fontId="15" fillId="2" borderId="10" xfId="13" applyNumberFormat="1" applyFont="1" applyFill="1" applyBorder="1" applyAlignment="1" applyProtection="1">
      <alignment horizontal="center" vertical="center" wrapText="1"/>
    </xf>
    <xf numFmtId="0" fontId="15" fillId="2" borderId="9" xfId="13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top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7" fontId="11" fillId="2" borderId="2" xfId="1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164" fontId="9" fillId="2" borderId="1" xfId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2" borderId="1" xfId="14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7" fontId="24" fillId="2" borderId="7" xfId="0" applyNumberFormat="1" applyFont="1" applyFill="1" applyBorder="1" applyAlignment="1">
      <alignment horizontal="center" vertical="center"/>
    </xf>
    <xf numFmtId="167" fontId="24" fillId="2" borderId="20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167" fontId="9" fillId="2" borderId="2" xfId="1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7" fontId="9" fillId="2" borderId="2" xfId="1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top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167" fontId="9" fillId="2" borderId="6" xfId="1" applyNumberFormat="1" applyFont="1" applyFill="1" applyBorder="1" applyAlignment="1">
      <alignment horizontal="center" vertical="center" wrapText="1"/>
    </xf>
    <xf numFmtId="167" fontId="9" fillId="2" borderId="14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3" fontId="9" fillId="2" borderId="6" xfId="1" applyNumberFormat="1" applyFont="1" applyFill="1" applyBorder="1" applyAlignment="1">
      <alignment horizontal="center" vertical="center" wrapText="1"/>
    </xf>
    <xf numFmtId="3" fontId="9" fillId="2" borderId="14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1" fontId="9" fillId="2" borderId="6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1" fontId="9" fillId="2" borderId="7" xfId="1" applyNumberFormat="1" applyFont="1" applyFill="1" applyBorder="1" applyAlignment="1">
      <alignment horizontal="center" vertical="center" wrapText="1"/>
    </xf>
    <xf numFmtId="1" fontId="9" fillId="2" borderId="20" xfId="1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167" fontId="9" fillId="2" borderId="7" xfId="1" applyNumberFormat="1" applyFont="1" applyFill="1" applyBorder="1" applyAlignment="1">
      <alignment horizontal="center" vertical="center" wrapText="1"/>
    </xf>
    <xf numFmtId="167" fontId="9" fillId="2" borderId="20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1" fontId="9" fillId="2" borderId="6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49" fontId="12" fillId="2" borderId="6" xfId="0" applyNumberFormat="1" applyFont="1" applyFill="1" applyBorder="1" applyAlignment="1">
      <alignment horizontal="center" vertical="top" wrapText="1"/>
    </xf>
    <xf numFmtId="49" fontId="10" fillId="2" borderId="2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167" fontId="11" fillId="2" borderId="20" xfId="1" applyNumberFormat="1" applyFont="1" applyFill="1" applyBorder="1" applyAlignment="1">
      <alignment horizontal="center"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2" xfId="1" applyNumberFormat="1" applyFont="1" applyFill="1" applyBorder="1" applyAlignment="1">
      <alignment horizontal="center" vertical="center"/>
    </xf>
    <xf numFmtId="167" fontId="16" fillId="2" borderId="0" xfId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/>
    <xf numFmtId="49" fontId="18" fillId="2" borderId="0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 wrapText="1"/>
    </xf>
    <xf numFmtId="167" fontId="20" fillId="2" borderId="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9" fontId="9" fillId="2" borderId="2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69" fontId="24" fillId="2" borderId="1" xfId="0" applyNumberFormat="1" applyFont="1" applyFill="1" applyBorder="1" applyAlignment="1">
      <alignment horizontal="center" vertical="center" wrapText="1"/>
    </xf>
    <xf numFmtId="169" fontId="24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top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</cellXfs>
  <cellStyles count="15">
    <cellStyle name="xl28" xfId="13"/>
    <cellStyle name="xl35" xfId="14"/>
    <cellStyle name="Обычный" xfId="0" builtinId="0"/>
    <cellStyle name="Обычный 11" xfId="5"/>
    <cellStyle name="Обычный 12" xfId="7"/>
    <cellStyle name="Обычный 14" xfId="9"/>
    <cellStyle name="Обычный 15" xfId="8"/>
    <cellStyle name="Обычный 16" xfId="10"/>
    <cellStyle name="Обычный 17" xfId="12"/>
    <cellStyle name="Обычный 3" xfId="3"/>
    <cellStyle name="Обычный 4" xfId="11"/>
    <cellStyle name="Обычный 5" xfId="4"/>
    <cellStyle name="Обычный 7" xfId="2"/>
    <cellStyle name="Обычный 9" xfId="6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88"/>
  <sheetViews>
    <sheetView tabSelected="1" view="pageBreakPreview" zoomScaleNormal="80" zoomScaleSheetLayoutView="100" workbookViewId="0">
      <pane ySplit="3" topLeftCell="A4" activePane="bottomLeft" state="frozen"/>
      <selection pane="bottomLeft" sqref="A1:I1"/>
    </sheetView>
  </sheetViews>
  <sheetFormatPr defaultRowHeight="15" x14ac:dyDescent="0.25"/>
  <cols>
    <col min="1" max="1" width="10.7109375" bestFit="1" customWidth="1"/>
    <col min="2" max="2" width="25.140625" customWidth="1"/>
    <col min="3" max="3" width="39.28515625" customWidth="1"/>
    <col min="4" max="4" width="36.28515625" customWidth="1"/>
    <col min="5" max="5" width="30.85546875" customWidth="1"/>
    <col min="6" max="6" width="14.7109375" customWidth="1"/>
    <col min="7" max="7" width="23.7109375" customWidth="1"/>
    <col min="8" max="8" width="21.5703125" customWidth="1"/>
    <col min="9" max="9" width="20" customWidth="1"/>
    <col min="10" max="10" width="45.42578125" style="97" customWidth="1"/>
    <col min="11" max="11" width="11.7109375" customWidth="1"/>
  </cols>
  <sheetData>
    <row r="1" spans="1:13" ht="44.25" customHeight="1" x14ac:dyDescent="0.3">
      <c r="A1" s="164" t="s">
        <v>50</v>
      </c>
      <c r="B1" s="165"/>
      <c r="C1" s="165"/>
      <c r="D1" s="165"/>
      <c r="E1" s="165"/>
      <c r="F1" s="165"/>
      <c r="G1" s="165"/>
      <c r="H1" s="165"/>
      <c r="I1" s="165"/>
    </row>
    <row r="3" spans="1:13" ht="87.75" customHeight="1" x14ac:dyDescent="0.25">
      <c r="A3" s="185" t="s">
        <v>0</v>
      </c>
      <c r="B3" s="185" t="s">
        <v>1</v>
      </c>
      <c r="C3" s="185" t="s">
        <v>2</v>
      </c>
      <c r="D3" s="185" t="s">
        <v>3</v>
      </c>
      <c r="E3" s="185" t="s">
        <v>4</v>
      </c>
      <c r="F3" s="185" t="s">
        <v>5</v>
      </c>
      <c r="G3" s="185" t="s">
        <v>540</v>
      </c>
      <c r="H3" s="185" t="s">
        <v>541</v>
      </c>
      <c r="I3" s="186" t="s">
        <v>48</v>
      </c>
      <c r="J3" s="98"/>
    </row>
    <row r="4" spans="1:13" ht="15.75" x14ac:dyDescent="0.25">
      <c r="A4" s="185" t="s">
        <v>7</v>
      </c>
      <c r="B4" s="185" t="s">
        <v>8</v>
      </c>
      <c r="C4" s="185" t="s">
        <v>9</v>
      </c>
      <c r="D4" s="185" t="s">
        <v>10</v>
      </c>
      <c r="E4" s="185" t="s">
        <v>11</v>
      </c>
      <c r="F4" s="185" t="s">
        <v>12</v>
      </c>
      <c r="G4" s="185" t="s">
        <v>13</v>
      </c>
      <c r="H4" s="185" t="s">
        <v>14</v>
      </c>
      <c r="I4" s="186" t="s">
        <v>15</v>
      </c>
      <c r="J4" s="98"/>
    </row>
    <row r="5" spans="1:13" ht="15.75" x14ac:dyDescent="0.25">
      <c r="A5" s="172" t="s">
        <v>1169</v>
      </c>
      <c r="B5" s="172"/>
      <c r="C5" s="172"/>
      <c r="D5" s="172"/>
      <c r="E5" s="172"/>
      <c r="F5" s="172"/>
      <c r="G5" s="172"/>
      <c r="H5" s="172"/>
      <c r="I5" s="172"/>
      <c r="J5" s="98"/>
    </row>
    <row r="6" spans="1:13" ht="63" customHeight="1" x14ac:dyDescent="0.25">
      <c r="A6" s="116" t="s">
        <v>544</v>
      </c>
      <c r="B6" s="122" t="s">
        <v>571</v>
      </c>
      <c r="C6" s="116" t="s">
        <v>1514</v>
      </c>
      <c r="D6" s="107" t="s">
        <v>1583</v>
      </c>
      <c r="E6" s="107" t="s">
        <v>1515</v>
      </c>
      <c r="F6" s="107" t="s">
        <v>85</v>
      </c>
      <c r="G6" s="19">
        <v>4</v>
      </c>
      <c r="H6" s="19">
        <v>4</v>
      </c>
      <c r="I6" s="73">
        <v>2</v>
      </c>
      <c r="J6" s="187"/>
      <c r="K6" s="3"/>
      <c r="L6" s="3"/>
      <c r="M6" s="3"/>
    </row>
    <row r="7" spans="1:13" ht="61.5" customHeight="1" x14ac:dyDescent="0.25">
      <c r="A7" s="117"/>
      <c r="B7" s="123"/>
      <c r="C7" s="117"/>
      <c r="D7" s="107" t="s">
        <v>537</v>
      </c>
      <c r="E7" s="107" t="s">
        <v>16</v>
      </c>
      <c r="F7" s="107" t="s">
        <v>6</v>
      </c>
      <c r="G7" s="20">
        <f>2221.76/1000</f>
        <v>2.2217600000000002</v>
      </c>
      <c r="H7" s="20">
        <f>2221.76/1000</f>
        <v>2.2217600000000002</v>
      </c>
      <c r="I7" s="76">
        <f>1110.88/1000</f>
        <v>1.1108800000000001</v>
      </c>
      <c r="J7" s="187"/>
      <c r="K7" s="3"/>
      <c r="L7" s="3"/>
      <c r="M7" s="3"/>
    </row>
    <row r="8" spans="1:13" ht="74.25" customHeight="1" x14ac:dyDescent="0.25">
      <c r="A8" s="116" t="s">
        <v>545</v>
      </c>
      <c r="B8" s="123"/>
      <c r="C8" s="116" t="s">
        <v>1516</v>
      </c>
      <c r="D8" s="107" t="s">
        <v>1584</v>
      </c>
      <c r="E8" s="107" t="s">
        <v>1517</v>
      </c>
      <c r="F8" s="107" t="s">
        <v>85</v>
      </c>
      <c r="G8" s="19">
        <v>50</v>
      </c>
      <c r="H8" s="19">
        <v>50</v>
      </c>
      <c r="I8" s="73">
        <v>0</v>
      </c>
      <c r="J8" s="187"/>
      <c r="K8" s="3"/>
      <c r="L8" s="3"/>
      <c r="M8" s="3"/>
    </row>
    <row r="9" spans="1:13" ht="58.5" customHeight="1" x14ac:dyDescent="0.25">
      <c r="A9" s="117"/>
      <c r="B9" s="123"/>
      <c r="C9" s="117"/>
      <c r="D9" s="107" t="s">
        <v>538</v>
      </c>
      <c r="E9" s="107" t="s">
        <v>16</v>
      </c>
      <c r="F9" s="107" t="s">
        <v>6</v>
      </c>
      <c r="G9" s="20">
        <f>5095/1000</f>
        <v>5.0949999999999998</v>
      </c>
      <c r="H9" s="20">
        <f>5095/1000</f>
        <v>5.0949999999999998</v>
      </c>
      <c r="I9" s="76">
        <v>0</v>
      </c>
      <c r="J9" s="187"/>
      <c r="K9" s="3"/>
      <c r="L9" s="3"/>
      <c r="M9" s="3"/>
    </row>
    <row r="10" spans="1:13" ht="76.5" customHeight="1" x14ac:dyDescent="0.25">
      <c r="A10" s="116" t="s">
        <v>546</v>
      </c>
      <c r="B10" s="123"/>
      <c r="C10" s="116" t="s">
        <v>1516</v>
      </c>
      <c r="D10" s="107" t="s">
        <v>1585</v>
      </c>
      <c r="E10" s="107" t="s">
        <v>1518</v>
      </c>
      <c r="F10" s="107" t="s">
        <v>85</v>
      </c>
      <c r="G10" s="19">
        <v>50</v>
      </c>
      <c r="H10" s="19">
        <v>50</v>
      </c>
      <c r="I10" s="73">
        <v>0</v>
      </c>
      <c r="J10" s="187"/>
      <c r="K10" s="3"/>
      <c r="L10" s="3"/>
      <c r="M10" s="3"/>
    </row>
    <row r="11" spans="1:13" ht="63" customHeight="1" x14ac:dyDescent="0.25">
      <c r="A11" s="117"/>
      <c r="B11" s="123"/>
      <c r="C11" s="117"/>
      <c r="D11" s="107" t="s">
        <v>539</v>
      </c>
      <c r="E11" s="107" t="s">
        <v>16</v>
      </c>
      <c r="F11" s="107" t="s">
        <v>6</v>
      </c>
      <c r="G11" s="20">
        <f>62/1000</f>
        <v>6.2E-2</v>
      </c>
      <c r="H11" s="20">
        <f>62/1000</f>
        <v>6.2E-2</v>
      </c>
      <c r="I11" s="76">
        <v>0</v>
      </c>
      <c r="J11" s="187"/>
      <c r="K11" s="3"/>
      <c r="L11" s="3"/>
      <c r="M11" s="3"/>
    </row>
    <row r="12" spans="1:13" ht="90.75" customHeight="1" x14ac:dyDescent="0.25">
      <c r="A12" s="116" t="s">
        <v>547</v>
      </c>
      <c r="B12" s="123"/>
      <c r="C12" s="116" t="s">
        <v>1519</v>
      </c>
      <c r="D12" s="107" t="s">
        <v>1586</v>
      </c>
      <c r="E12" s="107" t="s">
        <v>1520</v>
      </c>
      <c r="F12" s="107" t="s">
        <v>85</v>
      </c>
      <c r="G12" s="19">
        <v>5</v>
      </c>
      <c r="H12" s="19">
        <v>5</v>
      </c>
      <c r="I12" s="73">
        <v>0</v>
      </c>
      <c r="J12" s="187"/>
      <c r="K12" s="3"/>
      <c r="L12" s="3"/>
      <c r="M12" s="3"/>
    </row>
    <row r="13" spans="1:13" ht="61.5" customHeight="1" x14ac:dyDescent="0.25">
      <c r="A13" s="117"/>
      <c r="B13" s="123"/>
      <c r="C13" s="117"/>
      <c r="D13" s="107" t="s">
        <v>539</v>
      </c>
      <c r="E13" s="107" t="s">
        <v>16</v>
      </c>
      <c r="F13" s="107" t="s">
        <v>6</v>
      </c>
      <c r="G13" s="20">
        <f>516.25/1000</f>
        <v>0.51624999999999999</v>
      </c>
      <c r="H13" s="20">
        <f>516.25/1000</f>
        <v>0.51624999999999999</v>
      </c>
      <c r="I13" s="76">
        <v>0</v>
      </c>
      <c r="J13" s="187"/>
      <c r="K13" s="3"/>
      <c r="L13" s="3"/>
      <c r="M13" s="3"/>
    </row>
    <row r="14" spans="1:13" s="2" customFormat="1" ht="93" customHeight="1" x14ac:dyDescent="0.25">
      <c r="A14" s="116" t="s">
        <v>548</v>
      </c>
      <c r="B14" s="123"/>
      <c r="C14" s="116" t="s">
        <v>1521</v>
      </c>
      <c r="D14" s="107" t="s">
        <v>1587</v>
      </c>
      <c r="E14" s="107" t="s">
        <v>1522</v>
      </c>
      <c r="F14" s="107" t="s">
        <v>85</v>
      </c>
      <c r="G14" s="19">
        <v>5</v>
      </c>
      <c r="H14" s="19">
        <v>5</v>
      </c>
      <c r="I14" s="73">
        <v>0</v>
      </c>
      <c r="J14" s="187"/>
      <c r="K14" s="8"/>
      <c r="L14" s="8"/>
      <c r="M14" s="8"/>
    </row>
    <row r="15" spans="1:13" s="2" customFormat="1" ht="63" customHeight="1" x14ac:dyDescent="0.25">
      <c r="A15" s="117"/>
      <c r="B15" s="123"/>
      <c r="C15" s="117"/>
      <c r="D15" s="107" t="s">
        <v>538</v>
      </c>
      <c r="E15" s="107" t="s">
        <v>16</v>
      </c>
      <c r="F15" s="107" t="s">
        <v>6</v>
      </c>
      <c r="G15" s="4">
        <f>6.15/1000</f>
        <v>6.1500000000000001E-3</v>
      </c>
      <c r="H15" s="4">
        <f>6.15/1000</f>
        <v>6.1500000000000001E-3</v>
      </c>
      <c r="I15" s="86">
        <v>0</v>
      </c>
      <c r="J15" s="187"/>
      <c r="K15" s="8"/>
      <c r="L15" s="8"/>
      <c r="M15" s="8"/>
    </row>
    <row r="16" spans="1:13" s="2" customFormat="1" ht="58.5" customHeight="1" x14ac:dyDescent="0.25">
      <c r="A16" s="116" t="s">
        <v>549</v>
      </c>
      <c r="B16" s="123"/>
      <c r="C16" s="116" t="s">
        <v>1523</v>
      </c>
      <c r="D16" s="107" t="s">
        <v>1588</v>
      </c>
      <c r="E16" s="107" t="s">
        <v>1524</v>
      </c>
      <c r="F16" s="107" t="s">
        <v>85</v>
      </c>
      <c r="G16" s="19">
        <v>7113</v>
      </c>
      <c r="H16" s="19">
        <v>7113</v>
      </c>
      <c r="I16" s="73">
        <v>7113</v>
      </c>
      <c r="J16" s="187"/>
      <c r="K16" s="8"/>
      <c r="L16" s="8"/>
      <c r="M16" s="8"/>
    </row>
    <row r="17" spans="1:13" s="2" customFormat="1" ht="63.75" customHeight="1" x14ac:dyDescent="0.25">
      <c r="A17" s="117"/>
      <c r="B17" s="123"/>
      <c r="C17" s="117"/>
      <c r="D17" s="107" t="s">
        <v>539</v>
      </c>
      <c r="E17" s="107" t="s">
        <v>16</v>
      </c>
      <c r="F17" s="107" t="s">
        <v>6</v>
      </c>
      <c r="G17" s="20">
        <f>61385.19/1000</f>
        <v>61.385190000000001</v>
      </c>
      <c r="H17" s="20">
        <f>61385.19/1000</f>
        <v>61.385190000000001</v>
      </c>
      <c r="I17" s="76">
        <f>61385.19/1000</f>
        <v>61.385190000000001</v>
      </c>
      <c r="J17" s="187"/>
      <c r="K17" s="8"/>
      <c r="L17" s="8"/>
      <c r="M17" s="8"/>
    </row>
    <row r="18" spans="1:13" ht="63.75" customHeight="1" x14ac:dyDescent="0.25">
      <c r="A18" s="116" t="s">
        <v>550</v>
      </c>
      <c r="B18" s="123"/>
      <c r="C18" s="116" t="s">
        <v>1523</v>
      </c>
      <c r="D18" s="107" t="s">
        <v>1589</v>
      </c>
      <c r="E18" s="107" t="s">
        <v>1525</v>
      </c>
      <c r="F18" s="107" t="s">
        <v>85</v>
      </c>
      <c r="G18" s="19">
        <v>7113</v>
      </c>
      <c r="H18" s="19">
        <v>7113</v>
      </c>
      <c r="I18" s="73">
        <v>7113</v>
      </c>
      <c r="J18" s="187"/>
      <c r="K18" s="3"/>
      <c r="L18" s="3"/>
      <c r="M18" s="3"/>
    </row>
    <row r="19" spans="1:13" ht="58.5" customHeight="1" x14ac:dyDescent="0.25">
      <c r="A19" s="117"/>
      <c r="B19" s="123"/>
      <c r="C19" s="117"/>
      <c r="D19" s="107" t="s">
        <v>539</v>
      </c>
      <c r="E19" s="107" t="s">
        <v>16</v>
      </c>
      <c r="F19" s="107" t="s">
        <v>6</v>
      </c>
      <c r="G19" s="20">
        <f>3058.59/1000</f>
        <v>3.0585900000000001</v>
      </c>
      <c r="H19" s="20">
        <f>3058.59/1000</f>
        <v>3.0585900000000001</v>
      </c>
      <c r="I19" s="76">
        <f>3058.59/1000</f>
        <v>3.0585900000000001</v>
      </c>
      <c r="J19" s="187"/>
      <c r="K19" s="3"/>
      <c r="L19" s="3"/>
      <c r="M19" s="3"/>
    </row>
    <row r="20" spans="1:13" s="2" customFormat="1" ht="61.5" customHeight="1" x14ac:dyDescent="0.25">
      <c r="A20" s="116" t="s">
        <v>551</v>
      </c>
      <c r="B20" s="123"/>
      <c r="C20" s="116" t="s">
        <v>19</v>
      </c>
      <c r="D20" s="107" t="s">
        <v>1590</v>
      </c>
      <c r="E20" s="107" t="s">
        <v>37</v>
      </c>
      <c r="F20" s="107" t="s">
        <v>85</v>
      </c>
      <c r="G20" s="19">
        <v>250087</v>
      </c>
      <c r="H20" s="19">
        <v>250087</v>
      </c>
      <c r="I20" s="73">
        <v>250087</v>
      </c>
      <c r="J20" s="187"/>
      <c r="K20" s="8"/>
      <c r="L20" s="8"/>
      <c r="M20" s="8"/>
    </row>
    <row r="21" spans="1:13" s="2" customFormat="1" ht="60.75" customHeight="1" x14ac:dyDescent="0.25">
      <c r="A21" s="117"/>
      <c r="B21" s="123"/>
      <c r="C21" s="117"/>
      <c r="D21" s="107" t="s">
        <v>539</v>
      </c>
      <c r="E21" s="107" t="s">
        <v>16</v>
      </c>
      <c r="F21" s="107" t="s">
        <v>6</v>
      </c>
      <c r="G21" s="20">
        <f>5947068.86/1000</f>
        <v>5947.0688600000003</v>
      </c>
      <c r="H21" s="20">
        <f>5947068.86/1000</f>
        <v>5947.0688600000003</v>
      </c>
      <c r="I21" s="76">
        <f>5947068.86/1000</f>
        <v>5947.0688600000003</v>
      </c>
      <c r="J21" s="187"/>
      <c r="K21" s="8"/>
      <c r="L21" s="8"/>
      <c r="M21" s="8"/>
    </row>
    <row r="22" spans="1:13" ht="57" customHeight="1" x14ac:dyDescent="0.25">
      <c r="A22" s="116" t="s">
        <v>552</v>
      </c>
      <c r="B22" s="123"/>
      <c r="C22" s="116" t="s">
        <v>18</v>
      </c>
      <c r="D22" s="107" t="s">
        <v>1591</v>
      </c>
      <c r="E22" s="107" t="s">
        <v>38</v>
      </c>
      <c r="F22" s="107" t="s">
        <v>85</v>
      </c>
      <c r="G22" s="19">
        <v>3500</v>
      </c>
      <c r="H22" s="19">
        <v>5110</v>
      </c>
      <c r="I22" s="73">
        <v>6487</v>
      </c>
      <c r="J22" s="187"/>
      <c r="K22" s="3"/>
      <c r="L22" s="3"/>
      <c r="M22" s="3"/>
    </row>
    <row r="23" spans="1:13" ht="62.25" customHeight="1" x14ac:dyDescent="0.25">
      <c r="A23" s="117"/>
      <c r="B23" s="123"/>
      <c r="C23" s="117"/>
      <c r="D23" s="107" t="s">
        <v>539</v>
      </c>
      <c r="E23" s="107" t="s">
        <v>16</v>
      </c>
      <c r="F23" s="107" t="s">
        <v>6</v>
      </c>
      <c r="G23" s="20">
        <f>4835495/1000</f>
        <v>4835.4949999999999</v>
      </c>
      <c r="H23" s="20">
        <f>4835495/1000</f>
        <v>4835.4949999999999</v>
      </c>
      <c r="I23" s="76">
        <f>6261534.76/1000</f>
        <v>6261.5347599999996</v>
      </c>
      <c r="J23" s="187"/>
      <c r="K23" s="3"/>
      <c r="L23" s="3"/>
      <c r="M23" s="3"/>
    </row>
    <row r="24" spans="1:13" ht="63" customHeight="1" x14ac:dyDescent="0.25">
      <c r="A24" s="116" t="s">
        <v>553</v>
      </c>
      <c r="B24" s="123"/>
      <c r="C24" s="116" t="s">
        <v>21</v>
      </c>
      <c r="D24" s="107" t="s">
        <v>1592</v>
      </c>
      <c r="E24" s="107" t="s">
        <v>39</v>
      </c>
      <c r="F24" s="107" t="s">
        <v>85</v>
      </c>
      <c r="G24" s="19">
        <v>100</v>
      </c>
      <c r="H24" s="19">
        <v>100</v>
      </c>
      <c r="I24" s="73">
        <v>60</v>
      </c>
      <c r="J24" s="187"/>
      <c r="K24" s="3"/>
      <c r="L24" s="3"/>
      <c r="M24" s="3"/>
    </row>
    <row r="25" spans="1:13" ht="63.75" customHeight="1" x14ac:dyDescent="0.25">
      <c r="A25" s="117"/>
      <c r="B25" s="123"/>
      <c r="C25" s="117"/>
      <c r="D25" s="107" t="s">
        <v>539</v>
      </c>
      <c r="E25" s="107" t="s">
        <v>16</v>
      </c>
      <c r="F25" s="107" t="s">
        <v>6</v>
      </c>
      <c r="G25" s="20">
        <f>1639509/1000</f>
        <v>1639.509</v>
      </c>
      <c r="H25" s="20">
        <f>1639509/1000</f>
        <v>1639.509</v>
      </c>
      <c r="I25" s="76">
        <f>983705.4/1000</f>
        <v>983.70540000000005</v>
      </c>
      <c r="J25" s="187"/>
      <c r="K25" s="3"/>
      <c r="L25" s="3"/>
      <c r="M25" s="3"/>
    </row>
    <row r="26" spans="1:13" ht="62.25" customHeight="1" x14ac:dyDescent="0.25">
      <c r="A26" s="116" t="s">
        <v>554</v>
      </c>
      <c r="B26" s="123"/>
      <c r="C26" s="116" t="s">
        <v>20</v>
      </c>
      <c r="D26" s="107" t="s">
        <v>1593</v>
      </c>
      <c r="E26" s="107" t="s">
        <v>45</v>
      </c>
      <c r="F26" s="107" t="s">
        <v>85</v>
      </c>
      <c r="G26" s="19">
        <v>50</v>
      </c>
      <c r="H26" s="19">
        <v>50</v>
      </c>
      <c r="I26" s="73">
        <v>16</v>
      </c>
      <c r="J26" s="187"/>
      <c r="K26" s="3"/>
      <c r="L26" s="3"/>
      <c r="M26" s="3"/>
    </row>
    <row r="27" spans="1:13" ht="61.5" customHeight="1" x14ac:dyDescent="0.25">
      <c r="A27" s="117"/>
      <c r="B27" s="123"/>
      <c r="C27" s="117"/>
      <c r="D27" s="107" t="s">
        <v>539</v>
      </c>
      <c r="E27" s="107" t="s">
        <v>16</v>
      </c>
      <c r="F27" s="107" t="s">
        <v>6</v>
      </c>
      <c r="G27" s="20">
        <f>686496/1000</f>
        <v>686.49599999999998</v>
      </c>
      <c r="H27" s="20">
        <f>686496/1000</f>
        <v>686.49599999999998</v>
      </c>
      <c r="I27" s="76">
        <f>219678.72/1000</f>
        <v>219.67872</v>
      </c>
      <c r="J27" s="187"/>
      <c r="K27" s="3"/>
      <c r="L27" s="3"/>
      <c r="M27" s="3"/>
    </row>
    <row r="28" spans="1:13" s="2" customFormat="1" ht="78" customHeight="1" x14ac:dyDescent="0.25">
      <c r="A28" s="116" t="s">
        <v>555</v>
      </c>
      <c r="B28" s="123"/>
      <c r="C28" s="116" t="s">
        <v>1526</v>
      </c>
      <c r="D28" s="107" t="s">
        <v>1594</v>
      </c>
      <c r="E28" s="107" t="s">
        <v>1527</v>
      </c>
      <c r="F28" s="107" t="s">
        <v>85</v>
      </c>
      <c r="G28" s="19">
        <v>140</v>
      </c>
      <c r="H28" s="19">
        <v>140</v>
      </c>
      <c r="I28" s="73">
        <v>705</v>
      </c>
      <c r="J28" s="187"/>
      <c r="K28" s="8"/>
      <c r="L28" s="8"/>
      <c r="M28" s="8"/>
    </row>
    <row r="29" spans="1:13" s="2" customFormat="1" ht="63" customHeight="1" x14ac:dyDescent="0.25">
      <c r="A29" s="117"/>
      <c r="B29" s="123"/>
      <c r="C29" s="117"/>
      <c r="D29" s="107" t="s">
        <v>539</v>
      </c>
      <c r="E29" s="107" t="s">
        <v>16</v>
      </c>
      <c r="F29" s="107" t="s">
        <v>6</v>
      </c>
      <c r="G29" s="20">
        <f>135.8/1000</f>
        <v>0.1358</v>
      </c>
      <c r="H29" s="20">
        <f>135.8/1000</f>
        <v>0.1358</v>
      </c>
      <c r="I29" s="76">
        <f>668.33/1000</f>
        <v>0.66833000000000009</v>
      </c>
      <c r="J29" s="187"/>
      <c r="K29" s="8"/>
      <c r="L29" s="8"/>
      <c r="M29" s="8"/>
    </row>
    <row r="30" spans="1:13" ht="78" customHeight="1" x14ac:dyDescent="0.25">
      <c r="A30" s="116" t="s">
        <v>556</v>
      </c>
      <c r="B30" s="123"/>
      <c r="C30" s="116" t="s">
        <v>1526</v>
      </c>
      <c r="D30" s="107" t="s">
        <v>1595</v>
      </c>
      <c r="E30" s="107" t="s">
        <v>1528</v>
      </c>
      <c r="F30" s="107" t="s">
        <v>85</v>
      </c>
      <c r="G30" s="19">
        <v>140</v>
      </c>
      <c r="H30" s="19">
        <v>140</v>
      </c>
      <c r="I30" s="73">
        <v>705</v>
      </c>
      <c r="J30" s="187"/>
      <c r="K30" s="3"/>
      <c r="L30" s="3"/>
      <c r="M30" s="3"/>
    </row>
    <row r="31" spans="1:13" ht="62.25" customHeight="1" x14ac:dyDescent="0.25">
      <c r="A31" s="117"/>
      <c r="B31" s="123"/>
      <c r="C31" s="117"/>
      <c r="D31" s="107" t="s">
        <v>539</v>
      </c>
      <c r="E31" s="107" t="s">
        <v>16</v>
      </c>
      <c r="F31" s="107" t="s">
        <v>6</v>
      </c>
      <c r="G31" s="20">
        <f>9010.4/1000</f>
        <v>9.0103999999999989</v>
      </c>
      <c r="H31" s="20">
        <f>9010.4/1000</f>
        <v>9.0103999999999989</v>
      </c>
      <c r="I31" s="76">
        <f>44344.04/1000</f>
        <v>44.34404</v>
      </c>
      <c r="J31" s="187"/>
      <c r="K31" s="3"/>
      <c r="L31" s="3"/>
      <c r="M31" s="3"/>
    </row>
    <row r="32" spans="1:13" s="2" customFormat="1" ht="78.75" customHeight="1" x14ac:dyDescent="0.25">
      <c r="A32" s="116" t="s">
        <v>557</v>
      </c>
      <c r="B32" s="123"/>
      <c r="C32" s="116" t="s">
        <v>1529</v>
      </c>
      <c r="D32" s="107" t="s">
        <v>1596</v>
      </c>
      <c r="E32" s="107" t="s">
        <v>1528</v>
      </c>
      <c r="F32" s="107" t="s">
        <v>85</v>
      </c>
      <c r="G32" s="19">
        <v>550000</v>
      </c>
      <c r="H32" s="19">
        <v>550000</v>
      </c>
      <c r="I32" s="73">
        <v>567433</v>
      </c>
      <c r="J32" s="187"/>
      <c r="K32" s="8"/>
      <c r="L32" s="8"/>
      <c r="M32" s="8"/>
    </row>
    <row r="33" spans="1:13" s="2" customFormat="1" ht="58.5" customHeight="1" x14ac:dyDescent="0.25">
      <c r="A33" s="117"/>
      <c r="B33" s="123"/>
      <c r="C33" s="117"/>
      <c r="D33" s="107" t="s">
        <v>539</v>
      </c>
      <c r="E33" s="107" t="s">
        <v>16</v>
      </c>
      <c r="F33" s="107" t="s">
        <v>6</v>
      </c>
      <c r="G33" s="20">
        <f>35337500/1000</f>
        <v>35337.5</v>
      </c>
      <c r="H33" s="20">
        <f>35337500/1000</f>
        <v>35337.5</v>
      </c>
      <c r="I33" s="76">
        <f>36457570.25/1000</f>
        <v>36457.570249999997</v>
      </c>
      <c r="J33" s="187"/>
      <c r="K33" s="8"/>
      <c r="L33" s="8"/>
      <c r="M33" s="8"/>
    </row>
    <row r="34" spans="1:13" ht="80.25" customHeight="1" x14ac:dyDescent="0.25">
      <c r="A34" s="116" t="s">
        <v>558</v>
      </c>
      <c r="B34" s="123"/>
      <c r="C34" s="116" t="s">
        <v>1529</v>
      </c>
      <c r="D34" s="107" t="s">
        <v>1597</v>
      </c>
      <c r="E34" s="107" t="s">
        <v>1527</v>
      </c>
      <c r="F34" s="107" t="s">
        <v>85</v>
      </c>
      <c r="G34" s="19">
        <v>550000</v>
      </c>
      <c r="H34" s="19">
        <v>550000</v>
      </c>
      <c r="I34" s="73">
        <v>567433</v>
      </c>
      <c r="J34" s="187"/>
      <c r="K34" s="3"/>
      <c r="L34" s="3"/>
      <c r="M34" s="3"/>
    </row>
    <row r="35" spans="1:13" ht="64.5" customHeight="1" x14ac:dyDescent="0.25">
      <c r="A35" s="117"/>
      <c r="B35" s="123"/>
      <c r="C35" s="117"/>
      <c r="D35" s="107" t="s">
        <v>539</v>
      </c>
      <c r="E35" s="107" t="s">
        <v>16</v>
      </c>
      <c r="F35" s="107" t="s">
        <v>6</v>
      </c>
      <c r="G35" s="20">
        <f>528000/1000</f>
        <v>528</v>
      </c>
      <c r="H35" s="20">
        <f>528000/1000</f>
        <v>528</v>
      </c>
      <c r="I35" s="76">
        <f>544735.68/1000</f>
        <v>544.73568</v>
      </c>
      <c r="J35" s="187"/>
      <c r="K35" s="3"/>
      <c r="L35" s="3"/>
      <c r="M35" s="3"/>
    </row>
    <row r="36" spans="1:13" ht="62.25" customHeight="1" x14ac:dyDescent="0.25">
      <c r="A36" s="116" t="s">
        <v>559</v>
      </c>
      <c r="B36" s="123"/>
      <c r="C36" s="116" t="s">
        <v>1530</v>
      </c>
      <c r="D36" s="107" t="s">
        <v>1598</v>
      </c>
      <c r="E36" s="107" t="s">
        <v>1531</v>
      </c>
      <c r="F36" s="107" t="s">
        <v>85</v>
      </c>
      <c r="G36" s="19">
        <v>8000</v>
      </c>
      <c r="H36" s="19">
        <v>8000</v>
      </c>
      <c r="I36" s="73">
        <v>11992</v>
      </c>
      <c r="J36" s="187"/>
      <c r="K36" s="3"/>
      <c r="L36" s="3"/>
      <c r="M36" s="3"/>
    </row>
    <row r="37" spans="1:13" ht="60" customHeight="1" x14ac:dyDescent="0.25">
      <c r="A37" s="117"/>
      <c r="B37" s="123"/>
      <c r="C37" s="117"/>
      <c r="D37" s="107" t="s">
        <v>539</v>
      </c>
      <c r="E37" s="107" t="s">
        <v>16</v>
      </c>
      <c r="F37" s="107" t="s">
        <v>6</v>
      </c>
      <c r="G37" s="20">
        <f>6560/1000</f>
        <v>6.56</v>
      </c>
      <c r="H37" s="20">
        <f>6560/1000</f>
        <v>6.56</v>
      </c>
      <c r="I37" s="76">
        <f>9803.1/1000</f>
        <v>9.8031000000000006</v>
      </c>
      <c r="J37" s="187"/>
      <c r="K37" s="3"/>
      <c r="L37" s="3"/>
      <c r="M37" s="3"/>
    </row>
    <row r="38" spans="1:13" ht="66.75" customHeight="1" x14ac:dyDescent="0.25">
      <c r="A38" s="116" t="s">
        <v>560</v>
      </c>
      <c r="B38" s="123"/>
      <c r="C38" s="116" t="s">
        <v>1530</v>
      </c>
      <c r="D38" s="107" t="s">
        <v>1599</v>
      </c>
      <c r="E38" s="107" t="s">
        <v>1532</v>
      </c>
      <c r="F38" s="107" t="s">
        <v>85</v>
      </c>
      <c r="G38" s="19">
        <v>8000</v>
      </c>
      <c r="H38" s="19">
        <v>8000</v>
      </c>
      <c r="I38" s="73">
        <v>11992</v>
      </c>
      <c r="J38" s="187"/>
      <c r="K38" s="3"/>
      <c r="L38" s="3"/>
      <c r="M38" s="3"/>
    </row>
    <row r="39" spans="1:13" ht="59.25" customHeight="1" x14ac:dyDescent="0.25">
      <c r="A39" s="117"/>
      <c r="B39" s="123"/>
      <c r="C39" s="117"/>
      <c r="D39" s="107" t="s">
        <v>538</v>
      </c>
      <c r="E39" s="107" t="s">
        <v>16</v>
      </c>
      <c r="F39" s="107" t="s">
        <v>6</v>
      </c>
      <c r="G39" s="20">
        <f>339680/1000</f>
        <v>339.68</v>
      </c>
      <c r="H39" s="20">
        <f>339680/1000</f>
        <v>339.68</v>
      </c>
      <c r="I39" s="76">
        <f>507736.68/1000</f>
        <v>507.73667999999998</v>
      </c>
      <c r="J39" s="187"/>
      <c r="K39" s="3"/>
      <c r="L39" s="3"/>
      <c r="M39" s="3"/>
    </row>
    <row r="40" spans="1:13" ht="21" customHeight="1" x14ac:dyDescent="0.25">
      <c r="A40" s="107" t="s">
        <v>561</v>
      </c>
      <c r="B40" s="124"/>
      <c r="C40" s="107" t="s">
        <v>71</v>
      </c>
      <c r="D40" s="107" t="s">
        <v>536</v>
      </c>
      <c r="E40" s="107" t="s">
        <v>536</v>
      </c>
      <c r="F40" s="107" t="s">
        <v>6</v>
      </c>
      <c r="G40" s="20">
        <v>100</v>
      </c>
      <c r="H40" s="20">
        <v>100</v>
      </c>
      <c r="I40" s="76">
        <v>60</v>
      </c>
      <c r="J40" s="187"/>
      <c r="K40" s="3"/>
      <c r="L40" s="3"/>
      <c r="M40" s="3"/>
    </row>
    <row r="41" spans="1:13" s="1" customFormat="1" ht="60" customHeight="1" x14ac:dyDescent="0.25">
      <c r="A41" s="144" t="s">
        <v>582</v>
      </c>
      <c r="B41" s="145"/>
      <c r="C41" s="145"/>
      <c r="D41" s="147"/>
      <c r="E41" s="188" t="s">
        <v>17</v>
      </c>
      <c r="F41" s="10" t="s">
        <v>6</v>
      </c>
      <c r="G41" s="33">
        <f>+G7+G9+G11+G13+G15+G17+G19+G21+G23+G25+G27++G29+G31+G33+G35+G37+G39+G40</f>
        <v>49501.799999999996</v>
      </c>
      <c r="H41" s="33">
        <f>+H7+H9+H11+H13+H15+H17+H19+H21+H23+H25+H27+H29+H31+H35+H33+H37+H39+H40</f>
        <v>49501.799999999996</v>
      </c>
      <c r="I41" s="79">
        <f>+I7+I9+I11+I13+I15+I17+I19+I21+I23+I25+I27+I29+I31+I33+I35+I37+I39+I40</f>
        <v>51102.400479999997</v>
      </c>
      <c r="J41" s="189"/>
      <c r="K41" s="9"/>
      <c r="L41" s="9"/>
      <c r="M41" s="9"/>
    </row>
    <row r="42" spans="1:13" ht="65.25" customHeight="1" x14ac:dyDescent="0.25">
      <c r="A42" s="116" t="s">
        <v>562</v>
      </c>
      <c r="B42" s="122" t="s">
        <v>572</v>
      </c>
      <c r="C42" s="116" t="s">
        <v>24</v>
      </c>
      <c r="D42" s="107" t="s">
        <v>1600</v>
      </c>
      <c r="E42" s="107" t="s">
        <v>25</v>
      </c>
      <c r="F42" s="107" t="s">
        <v>85</v>
      </c>
      <c r="G42" s="19">
        <v>2650</v>
      </c>
      <c r="H42" s="19">
        <v>2650</v>
      </c>
      <c r="I42" s="73">
        <v>1281</v>
      </c>
      <c r="J42" s="187"/>
      <c r="K42" s="3"/>
      <c r="L42" s="3"/>
      <c r="M42" s="3"/>
    </row>
    <row r="43" spans="1:13" ht="58.5" customHeight="1" x14ac:dyDescent="0.25">
      <c r="A43" s="117"/>
      <c r="B43" s="123"/>
      <c r="C43" s="117"/>
      <c r="D43" s="107" t="s">
        <v>542</v>
      </c>
      <c r="E43" s="107" t="s">
        <v>16</v>
      </c>
      <c r="F43" s="107" t="s">
        <v>6</v>
      </c>
      <c r="G43" s="20">
        <f>1182271/1000</f>
        <v>1182.271</v>
      </c>
      <c r="H43" s="20">
        <f>1182271/1000</f>
        <v>1182.271</v>
      </c>
      <c r="I43" s="76">
        <f>1234226.07/1000</f>
        <v>1234.2260700000002</v>
      </c>
      <c r="J43" s="187"/>
      <c r="K43" s="3"/>
      <c r="L43" s="3"/>
      <c r="M43" s="3"/>
    </row>
    <row r="44" spans="1:13" ht="63" customHeight="1" x14ac:dyDescent="0.25">
      <c r="A44" s="116" t="s">
        <v>563</v>
      </c>
      <c r="B44" s="123"/>
      <c r="C44" s="116" t="s">
        <v>22</v>
      </c>
      <c r="D44" s="107" t="s">
        <v>1601</v>
      </c>
      <c r="E44" s="107" t="s">
        <v>23</v>
      </c>
      <c r="F44" s="107" t="s">
        <v>85</v>
      </c>
      <c r="G44" s="19">
        <v>54</v>
      </c>
      <c r="H44" s="19">
        <v>54</v>
      </c>
      <c r="I44" s="73">
        <v>44</v>
      </c>
      <c r="J44" s="187"/>
      <c r="K44" s="3"/>
      <c r="L44" s="3"/>
      <c r="M44" s="3"/>
    </row>
    <row r="45" spans="1:13" ht="63.75" customHeight="1" x14ac:dyDescent="0.25">
      <c r="A45" s="117"/>
      <c r="B45" s="123"/>
      <c r="C45" s="117"/>
      <c r="D45" s="107" t="s">
        <v>542</v>
      </c>
      <c r="E45" s="107" t="s">
        <v>16</v>
      </c>
      <c r="F45" s="107" t="s">
        <v>6</v>
      </c>
      <c r="G45" s="20">
        <f>8027797.14/1000</f>
        <v>8027.7971399999997</v>
      </c>
      <c r="H45" s="20">
        <f>8027797.14/1000</f>
        <v>8027.7971399999997</v>
      </c>
      <c r="I45" s="76">
        <f>8378306.28/1000</f>
        <v>8378.3062800000007</v>
      </c>
      <c r="J45" s="187"/>
      <c r="K45" s="3"/>
      <c r="L45" s="3"/>
      <c r="M45" s="3"/>
    </row>
    <row r="46" spans="1:13" ht="61.5" customHeight="1" x14ac:dyDescent="0.25">
      <c r="A46" s="116" t="s">
        <v>564</v>
      </c>
      <c r="B46" s="123"/>
      <c r="C46" s="116" t="s">
        <v>35</v>
      </c>
      <c r="D46" s="107" t="s">
        <v>1602</v>
      </c>
      <c r="E46" s="107" t="s">
        <v>36</v>
      </c>
      <c r="F46" s="107" t="s">
        <v>85</v>
      </c>
      <c r="G46" s="19">
        <v>130</v>
      </c>
      <c r="H46" s="19">
        <v>130</v>
      </c>
      <c r="I46" s="73">
        <v>71</v>
      </c>
      <c r="J46" s="187"/>
      <c r="K46" s="3"/>
      <c r="L46" s="3"/>
      <c r="M46" s="3"/>
    </row>
    <row r="47" spans="1:13" ht="66.75" customHeight="1" x14ac:dyDescent="0.25">
      <c r="A47" s="117"/>
      <c r="B47" s="123"/>
      <c r="C47" s="117"/>
      <c r="D47" s="107" t="s">
        <v>543</v>
      </c>
      <c r="E47" s="107" t="s">
        <v>16</v>
      </c>
      <c r="F47" s="107" t="s">
        <v>6</v>
      </c>
      <c r="G47" s="20">
        <f>4689223.6/1000</f>
        <v>4689.2235999999994</v>
      </c>
      <c r="H47" s="20">
        <f>4689223.6/1000</f>
        <v>4689.2235999999994</v>
      </c>
      <c r="I47" s="76">
        <f>4893964.4/1000</f>
        <v>4893.9644000000008</v>
      </c>
      <c r="J47" s="187"/>
      <c r="K47" s="3"/>
      <c r="L47" s="3"/>
      <c r="M47" s="3"/>
    </row>
    <row r="48" spans="1:13" ht="63" customHeight="1" x14ac:dyDescent="0.25">
      <c r="A48" s="116" t="s">
        <v>565</v>
      </c>
      <c r="B48" s="123"/>
      <c r="C48" s="116" t="s">
        <v>34</v>
      </c>
      <c r="D48" s="107" t="s">
        <v>1603</v>
      </c>
      <c r="E48" s="107" t="s">
        <v>33</v>
      </c>
      <c r="F48" s="107" t="s">
        <v>85</v>
      </c>
      <c r="G48" s="19">
        <v>7</v>
      </c>
      <c r="H48" s="19">
        <v>7</v>
      </c>
      <c r="I48" s="73">
        <v>6</v>
      </c>
      <c r="J48" s="187"/>
      <c r="K48" s="3"/>
      <c r="L48" s="3"/>
      <c r="M48" s="3"/>
    </row>
    <row r="49" spans="1:13" ht="66" customHeight="1" x14ac:dyDescent="0.25">
      <c r="A49" s="117"/>
      <c r="B49" s="123"/>
      <c r="C49" s="117"/>
      <c r="D49" s="107" t="s">
        <v>542</v>
      </c>
      <c r="E49" s="107" t="s">
        <v>16</v>
      </c>
      <c r="F49" s="107" t="s">
        <v>6</v>
      </c>
      <c r="G49" s="20">
        <f>13093919.86/1000</f>
        <v>13093.91986</v>
      </c>
      <c r="H49" s="20">
        <f>13093919.86/1000</f>
        <v>13093.91986</v>
      </c>
      <c r="I49" s="76">
        <f>13665631.07/1000</f>
        <v>13665.631069999999</v>
      </c>
      <c r="J49" s="187"/>
      <c r="K49" s="3"/>
      <c r="L49" s="3"/>
      <c r="M49" s="3"/>
    </row>
    <row r="50" spans="1:13" ht="64.5" customHeight="1" x14ac:dyDescent="0.25">
      <c r="A50" s="116" t="s">
        <v>566</v>
      </c>
      <c r="B50" s="123"/>
      <c r="C50" s="116" t="s">
        <v>32</v>
      </c>
      <c r="D50" s="107" t="s">
        <v>1604</v>
      </c>
      <c r="E50" s="107" t="s">
        <v>33</v>
      </c>
      <c r="F50" s="107" t="s">
        <v>85</v>
      </c>
      <c r="G50" s="19">
        <v>8</v>
      </c>
      <c r="H50" s="19">
        <v>8</v>
      </c>
      <c r="I50" s="73">
        <v>6</v>
      </c>
      <c r="J50" s="187"/>
      <c r="K50" s="3"/>
      <c r="L50" s="3"/>
      <c r="M50" s="3"/>
    </row>
    <row r="51" spans="1:13" ht="66" customHeight="1" x14ac:dyDescent="0.25">
      <c r="A51" s="117"/>
      <c r="B51" s="123"/>
      <c r="C51" s="117"/>
      <c r="D51" s="107" t="s">
        <v>542</v>
      </c>
      <c r="E51" s="107" t="s">
        <v>16</v>
      </c>
      <c r="F51" s="107" t="s">
        <v>6</v>
      </c>
      <c r="G51" s="20">
        <f>2426092.08/1000</f>
        <v>2426.0920799999999</v>
      </c>
      <c r="H51" s="20">
        <f>2426092.08/1000</f>
        <v>2426.0920799999999</v>
      </c>
      <c r="I51" s="76">
        <f>2532010.32/1000</f>
        <v>2532.0103199999999</v>
      </c>
      <c r="J51" s="187"/>
      <c r="K51" s="3"/>
      <c r="L51" s="3"/>
      <c r="M51" s="3"/>
    </row>
    <row r="52" spans="1:13" ht="64.5" customHeight="1" x14ac:dyDescent="0.25">
      <c r="A52" s="116" t="s">
        <v>567</v>
      </c>
      <c r="B52" s="123"/>
      <c r="C52" s="116" t="s">
        <v>26</v>
      </c>
      <c r="D52" s="107" t="s">
        <v>1605</v>
      </c>
      <c r="E52" s="107" t="s">
        <v>27</v>
      </c>
      <c r="F52" s="107" t="s">
        <v>85</v>
      </c>
      <c r="G52" s="19">
        <v>6</v>
      </c>
      <c r="H52" s="19">
        <v>6</v>
      </c>
      <c r="I52" s="73">
        <v>6</v>
      </c>
      <c r="J52" s="187"/>
      <c r="K52" s="3"/>
      <c r="L52" s="3"/>
      <c r="M52" s="3"/>
    </row>
    <row r="53" spans="1:13" ht="61.5" customHeight="1" x14ac:dyDescent="0.25">
      <c r="A53" s="117"/>
      <c r="B53" s="123"/>
      <c r="C53" s="117"/>
      <c r="D53" s="107" t="s">
        <v>543</v>
      </c>
      <c r="E53" s="107" t="s">
        <v>16</v>
      </c>
      <c r="F53" s="107" t="s">
        <v>6</v>
      </c>
      <c r="G53" s="20">
        <f>14386402.02/1000</f>
        <v>14386.40202</v>
      </c>
      <c r="H53" s="20">
        <f>14386402.02/1000</f>
        <v>14386.40202</v>
      </c>
      <c r="I53" s="76">
        <f>15013451.82/1000</f>
        <v>15013.45182</v>
      </c>
      <c r="J53" s="187"/>
      <c r="K53" s="3"/>
      <c r="L53" s="3"/>
      <c r="M53" s="3"/>
    </row>
    <row r="54" spans="1:13" ht="62.25" customHeight="1" x14ac:dyDescent="0.25">
      <c r="A54" s="116" t="s">
        <v>568</v>
      </c>
      <c r="B54" s="123"/>
      <c r="C54" s="116" t="s">
        <v>30</v>
      </c>
      <c r="D54" s="107" t="s">
        <v>1606</v>
      </c>
      <c r="E54" s="107" t="s">
        <v>31</v>
      </c>
      <c r="F54" s="107" t="s">
        <v>85</v>
      </c>
      <c r="G54" s="19">
        <v>5</v>
      </c>
      <c r="H54" s="19">
        <v>5</v>
      </c>
      <c r="I54" s="73">
        <v>5</v>
      </c>
      <c r="J54" s="187"/>
      <c r="K54" s="3"/>
      <c r="L54" s="3"/>
      <c r="M54" s="3"/>
    </row>
    <row r="55" spans="1:13" ht="62.25" customHeight="1" x14ac:dyDescent="0.25">
      <c r="A55" s="117"/>
      <c r="B55" s="123"/>
      <c r="C55" s="117"/>
      <c r="D55" s="107" t="s">
        <v>542</v>
      </c>
      <c r="E55" s="107" t="s">
        <v>16</v>
      </c>
      <c r="F55" s="107" t="s">
        <v>6</v>
      </c>
      <c r="G55" s="20">
        <f>4880324.35/1000</f>
        <v>4880.3243499999999</v>
      </c>
      <c r="H55" s="20">
        <f>4880324.35/1000</f>
        <v>4880.3243499999999</v>
      </c>
      <c r="I55" s="76">
        <f>5093411/1000</f>
        <v>5093.4110000000001</v>
      </c>
      <c r="J55" s="187"/>
      <c r="K55" s="3"/>
      <c r="L55" s="3"/>
      <c r="M55" s="3"/>
    </row>
    <row r="56" spans="1:13" ht="60" customHeight="1" x14ac:dyDescent="0.25">
      <c r="A56" s="116" t="s">
        <v>569</v>
      </c>
      <c r="B56" s="123"/>
      <c r="C56" s="116" t="s">
        <v>28</v>
      </c>
      <c r="D56" s="107" t="s">
        <v>1607</v>
      </c>
      <c r="E56" s="107" t="s">
        <v>29</v>
      </c>
      <c r="F56" s="107" t="s">
        <v>85</v>
      </c>
      <c r="G56" s="19">
        <v>4</v>
      </c>
      <c r="H56" s="19">
        <v>4</v>
      </c>
      <c r="I56" s="73">
        <v>4</v>
      </c>
      <c r="J56" s="187"/>
      <c r="K56" s="3"/>
      <c r="L56" s="3"/>
      <c r="M56" s="3"/>
    </row>
    <row r="57" spans="1:13" ht="66.75" customHeight="1" x14ac:dyDescent="0.25">
      <c r="A57" s="117"/>
      <c r="B57" s="123"/>
      <c r="C57" s="117"/>
      <c r="D57" s="107" t="s">
        <v>542</v>
      </c>
      <c r="E57" s="107" t="s">
        <v>16</v>
      </c>
      <c r="F57" s="107" t="s">
        <v>6</v>
      </c>
      <c r="G57" s="20">
        <f>(6690268.48-598.53)/1000</f>
        <v>6689.6699500000004</v>
      </c>
      <c r="H57" s="20">
        <f>(6690268.48-598.53)/1000</f>
        <v>6689.6699500000004</v>
      </c>
      <c r="I57" s="76">
        <f>6982376.04/1000</f>
        <v>6982.3760400000001</v>
      </c>
      <c r="J57" s="187"/>
      <c r="K57" s="3"/>
      <c r="L57" s="3"/>
      <c r="M57" s="3"/>
    </row>
    <row r="58" spans="1:13" ht="24.75" customHeight="1" x14ac:dyDescent="0.25">
      <c r="A58" s="107" t="s">
        <v>570</v>
      </c>
      <c r="B58" s="124"/>
      <c r="C58" s="107" t="s">
        <v>71</v>
      </c>
      <c r="D58" s="107" t="s">
        <v>536</v>
      </c>
      <c r="E58" s="107" t="s">
        <v>536</v>
      </c>
      <c r="F58" s="107" t="s">
        <v>6</v>
      </c>
      <c r="G58" s="20">
        <v>1602.1</v>
      </c>
      <c r="H58" s="20">
        <v>1602.1</v>
      </c>
      <c r="I58" s="76">
        <v>1602.1</v>
      </c>
      <c r="J58" s="187"/>
      <c r="K58" s="3"/>
      <c r="L58" s="3"/>
      <c r="M58" s="3"/>
    </row>
    <row r="59" spans="1:13" s="1" customFormat="1" ht="23.25" customHeight="1" x14ac:dyDescent="0.25">
      <c r="A59" s="144" t="s">
        <v>583</v>
      </c>
      <c r="B59" s="145"/>
      <c r="C59" s="145"/>
      <c r="D59" s="147"/>
      <c r="E59" s="128" t="s">
        <v>17</v>
      </c>
      <c r="F59" s="128" t="s">
        <v>6</v>
      </c>
      <c r="G59" s="33">
        <f>+G43+G45+G47+G49+G51+G53+G55+G57+G58</f>
        <v>56977.8</v>
      </c>
      <c r="H59" s="33">
        <f>+H43+H45+H47+H49+H51+H53+H55+H57+H58</f>
        <v>56977.8</v>
      </c>
      <c r="I59" s="79">
        <f>+I43+I45+I47+I49+I51+I53+I55+I57+I58</f>
        <v>59395.477000000006</v>
      </c>
      <c r="J59" s="189"/>
      <c r="K59" s="9"/>
      <c r="L59" s="9"/>
      <c r="M59" s="9"/>
    </row>
    <row r="60" spans="1:13" s="1" customFormat="1" ht="45" customHeight="1" x14ac:dyDescent="0.25">
      <c r="A60" s="144" t="s">
        <v>631</v>
      </c>
      <c r="B60" s="145"/>
      <c r="C60" s="145"/>
      <c r="D60" s="147"/>
      <c r="E60" s="129"/>
      <c r="F60" s="129"/>
      <c r="G60" s="61">
        <f>+G59+G41</f>
        <v>106479.6</v>
      </c>
      <c r="H60" s="61">
        <f>+H59+H41</f>
        <v>106479.6</v>
      </c>
      <c r="I60" s="74">
        <f>I41+I59</f>
        <v>110497.87748</v>
      </c>
      <c r="J60" s="189"/>
      <c r="K60" s="9"/>
      <c r="L60" s="9"/>
      <c r="M60" s="9"/>
    </row>
    <row r="61" spans="1:13" ht="15.75" x14ac:dyDescent="0.25">
      <c r="A61" s="190" t="s">
        <v>51</v>
      </c>
      <c r="B61" s="191"/>
      <c r="C61" s="191"/>
      <c r="D61" s="191"/>
      <c r="E61" s="191"/>
      <c r="F61" s="191"/>
      <c r="G61" s="191"/>
      <c r="H61" s="191"/>
      <c r="I61" s="191"/>
      <c r="J61" s="187"/>
      <c r="K61" s="3"/>
      <c r="L61" s="3"/>
      <c r="M61" s="3"/>
    </row>
    <row r="62" spans="1:13" ht="67.5" customHeight="1" x14ac:dyDescent="0.25">
      <c r="A62" s="192" t="s">
        <v>574</v>
      </c>
      <c r="B62" s="193" t="s">
        <v>573</v>
      </c>
      <c r="C62" s="194" t="s">
        <v>52</v>
      </c>
      <c r="D62" s="195" t="s">
        <v>1608</v>
      </c>
      <c r="E62" s="196" t="s">
        <v>53</v>
      </c>
      <c r="F62" s="7" t="s">
        <v>54</v>
      </c>
      <c r="G62" s="197">
        <v>837</v>
      </c>
      <c r="H62" s="197">
        <v>837</v>
      </c>
      <c r="I62" s="198">
        <v>837</v>
      </c>
      <c r="J62" s="187"/>
      <c r="K62" s="3"/>
      <c r="L62" s="3"/>
      <c r="M62" s="3"/>
    </row>
    <row r="63" spans="1:13" ht="62.25" customHeight="1" x14ac:dyDescent="0.25">
      <c r="A63" s="199"/>
      <c r="B63" s="200"/>
      <c r="C63" s="201"/>
      <c r="D63" s="202" t="s">
        <v>588</v>
      </c>
      <c r="E63" s="107" t="s">
        <v>16</v>
      </c>
      <c r="F63" s="203" t="s">
        <v>55</v>
      </c>
      <c r="G63" s="204">
        <v>6848.6</v>
      </c>
      <c r="H63" s="205">
        <v>6848.6</v>
      </c>
      <c r="I63" s="206">
        <v>6848.6</v>
      </c>
      <c r="J63" s="187"/>
      <c r="K63" s="3"/>
      <c r="L63" s="3"/>
      <c r="M63" s="3"/>
    </row>
    <row r="64" spans="1:13" ht="62.25" customHeight="1" x14ac:dyDescent="0.25">
      <c r="A64" s="192" t="s">
        <v>575</v>
      </c>
      <c r="B64" s="200"/>
      <c r="C64" s="194" t="s">
        <v>56</v>
      </c>
      <c r="D64" s="195" t="s">
        <v>1609</v>
      </c>
      <c r="E64" s="207" t="s">
        <v>57</v>
      </c>
      <c r="F64" s="203" t="s">
        <v>58</v>
      </c>
      <c r="G64" s="208">
        <v>1150704</v>
      </c>
      <c r="H64" s="209">
        <v>1150704</v>
      </c>
      <c r="I64" s="210">
        <v>1117988</v>
      </c>
      <c r="J64" s="187"/>
      <c r="K64" s="3"/>
      <c r="L64" s="3"/>
      <c r="M64" s="3"/>
    </row>
    <row r="65" spans="1:13" ht="61.5" customHeight="1" x14ac:dyDescent="0.25">
      <c r="A65" s="199"/>
      <c r="B65" s="200"/>
      <c r="C65" s="211"/>
      <c r="D65" s="212" t="s">
        <v>589</v>
      </c>
      <c r="E65" s="107" t="s">
        <v>16</v>
      </c>
      <c r="F65" s="203" t="s">
        <v>55</v>
      </c>
      <c r="G65" s="204">
        <v>17483.400000000001</v>
      </c>
      <c r="H65" s="204">
        <v>18241.3</v>
      </c>
      <c r="I65" s="213">
        <v>18241.330000000002</v>
      </c>
      <c r="J65" s="187"/>
      <c r="K65" s="3"/>
      <c r="L65" s="3"/>
      <c r="M65" s="3"/>
    </row>
    <row r="66" spans="1:13" ht="63.75" customHeight="1" x14ac:dyDescent="0.25">
      <c r="A66" s="192" t="s">
        <v>576</v>
      </c>
      <c r="B66" s="200"/>
      <c r="C66" s="194" t="s">
        <v>59</v>
      </c>
      <c r="D66" s="195" t="s">
        <v>1610</v>
      </c>
      <c r="E66" s="196" t="s">
        <v>60</v>
      </c>
      <c r="F66" s="214" t="s">
        <v>85</v>
      </c>
      <c r="G66" s="197">
        <v>16</v>
      </c>
      <c r="H66" s="197">
        <v>16</v>
      </c>
      <c r="I66" s="198">
        <v>16</v>
      </c>
      <c r="J66" s="187"/>
      <c r="K66" s="3"/>
      <c r="L66" s="3"/>
      <c r="M66" s="3"/>
    </row>
    <row r="67" spans="1:13" ht="62.25" customHeight="1" x14ac:dyDescent="0.25">
      <c r="A67" s="199"/>
      <c r="B67" s="200"/>
      <c r="C67" s="211"/>
      <c r="D67" s="215" t="s">
        <v>590</v>
      </c>
      <c r="E67" s="107" t="s">
        <v>16</v>
      </c>
      <c r="F67" s="203" t="s">
        <v>55</v>
      </c>
      <c r="G67" s="204">
        <v>59967.7</v>
      </c>
      <c r="H67" s="204">
        <v>58502.8</v>
      </c>
      <c r="I67" s="213">
        <v>58502.83</v>
      </c>
      <c r="J67" s="187"/>
      <c r="K67" s="3"/>
      <c r="L67" s="3"/>
      <c r="M67" s="3"/>
    </row>
    <row r="68" spans="1:13" ht="63" customHeight="1" x14ac:dyDescent="0.25">
      <c r="A68" s="192" t="s">
        <v>577</v>
      </c>
      <c r="B68" s="200"/>
      <c r="C68" s="194" t="s">
        <v>61</v>
      </c>
      <c r="D68" s="216" t="s">
        <v>1611</v>
      </c>
      <c r="E68" s="196" t="s">
        <v>1533</v>
      </c>
      <c r="F68" s="214" t="s">
        <v>1534</v>
      </c>
      <c r="G68" s="217">
        <v>64050</v>
      </c>
      <c r="H68" s="217">
        <v>64050</v>
      </c>
      <c r="I68" s="218">
        <v>65166</v>
      </c>
      <c r="J68" s="187"/>
      <c r="K68" s="3"/>
      <c r="L68" s="3"/>
      <c r="M68" s="3"/>
    </row>
    <row r="69" spans="1:13" ht="69" customHeight="1" x14ac:dyDescent="0.25">
      <c r="A69" s="199"/>
      <c r="B69" s="200"/>
      <c r="C69" s="211"/>
      <c r="D69" s="215" t="s">
        <v>591</v>
      </c>
      <c r="E69" s="107" t="s">
        <v>16</v>
      </c>
      <c r="F69" s="203" t="s">
        <v>55</v>
      </c>
      <c r="G69" s="204">
        <v>1944</v>
      </c>
      <c r="H69" s="204">
        <v>1944</v>
      </c>
      <c r="I69" s="213">
        <v>1944</v>
      </c>
      <c r="J69" s="187"/>
      <c r="K69" s="3"/>
      <c r="L69" s="3"/>
      <c r="M69" s="3"/>
    </row>
    <row r="70" spans="1:13" ht="66" customHeight="1" x14ac:dyDescent="0.25">
      <c r="A70" s="192" t="s">
        <v>578</v>
      </c>
      <c r="B70" s="200"/>
      <c r="C70" s="194" t="s">
        <v>62</v>
      </c>
      <c r="D70" s="216" t="s">
        <v>1612</v>
      </c>
      <c r="E70" s="196" t="s">
        <v>23</v>
      </c>
      <c r="F70" s="214" t="s">
        <v>58</v>
      </c>
      <c r="G70" s="217">
        <v>158112</v>
      </c>
      <c r="H70" s="217">
        <v>158112</v>
      </c>
      <c r="I70" s="218">
        <v>157680</v>
      </c>
      <c r="J70" s="187"/>
      <c r="K70" s="3"/>
      <c r="L70" s="3"/>
      <c r="M70" s="3"/>
    </row>
    <row r="71" spans="1:13" ht="63.75" customHeight="1" x14ac:dyDescent="0.25">
      <c r="A71" s="199"/>
      <c r="B71" s="200"/>
      <c r="C71" s="211"/>
      <c r="D71" s="215" t="s">
        <v>592</v>
      </c>
      <c r="E71" s="107" t="s">
        <v>16</v>
      </c>
      <c r="F71" s="203" t="s">
        <v>55</v>
      </c>
      <c r="G71" s="204">
        <v>9172.7999999999993</v>
      </c>
      <c r="H71" s="204">
        <v>10012.6</v>
      </c>
      <c r="I71" s="213">
        <v>10012.67</v>
      </c>
      <c r="J71" s="187"/>
      <c r="K71" s="3"/>
      <c r="L71" s="3"/>
      <c r="M71" s="3"/>
    </row>
    <row r="72" spans="1:13" ht="61.5" customHeight="1" x14ac:dyDescent="0.25">
      <c r="A72" s="192" t="s">
        <v>579</v>
      </c>
      <c r="B72" s="200"/>
      <c r="C72" s="194" t="s">
        <v>62</v>
      </c>
      <c r="D72" s="216" t="s">
        <v>1613</v>
      </c>
      <c r="E72" s="66" t="s">
        <v>296</v>
      </c>
      <c r="F72" s="203" t="s">
        <v>58</v>
      </c>
      <c r="G72" s="217">
        <v>19840</v>
      </c>
      <c r="H72" s="217">
        <v>19840</v>
      </c>
      <c r="I72" s="218">
        <v>19840</v>
      </c>
      <c r="J72" s="219"/>
      <c r="K72" s="3"/>
      <c r="L72" s="3"/>
      <c r="M72" s="3"/>
    </row>
    <row r="73" spans="1:13" ht="62.25" customHeight="1" x14ac:dyDescent="0.25">
      <c r="A73" s="199"/>
      <c r="B73" s="200"/>
      <c r="C73" s="211"/>
      <c r="D73" s="220" t="s">
        <v>593</v>
      </c>
      <c r="E73" s="107" t="s">
        <v>16</v>
      </c>
      <c r="F73" s="203" t="s">
        <v>55</v>
      </c>
      <c r="G73" s="204">
        <v>13052.9</v>
      </c>
      <c r="H73" s="204">
        <v>13659.9</v>
      </c>
      <c r="I73" s="213">
        <v>13659.9</v>
      </c>
      <c r="J73" s="187"/>
      <c r="K73" s="3"/>
      <c r="L73" s="3"/>
      <c r="M73" s="3"/>
    </row>
    <row r="74" spans="1:13" ht="66" customHeight="1" x14ac:dyDescent="0.25">
      <c r="A74" s="192" t="s">
        <v>580</v>
      </c>
      <c r="B74" s="200"/>
      <c r="C74" s="194" t="s">
        <v>63</v>
      </c>
      <c r="D74" s="195" t="s">
        <v>1614</v>
      </c>
      <c r="E74" s="196" t="s">
        <v>64</v>
      </c>
      <c r="F74" s="214" t="s">
        <v>85</v>
      </c>
      <c r="G74" s="217">
        <v>1832</v>
      </c>
      <c r="H74" s="217">
        <v>1832</v>
      </c>
      <c r="I74" s="218">
        <v>1830</v>
      </c>
      <c r="J74" s="187"/>
      <c r="K74" s="3"/>
      <c r="L74" s="3"/>
      <c r="M74" s="3"/>
    </row>
    <row r="75" spans="1:13" ht="65.25" customHeight="1" x14ac:dyDescent="0.25">
      <c r="A75" s="199"/>
      <c r="B75" s="200"/>
      <c r="C75" s="211"/>
      <c r="D75" s="221" t="s">
        <v>594</v>
      </c>
      <c r="E75" s="107" t="s">
        <v>16</v>
      </c>
      <c r="F75" s="203" t="s">
        <v>55</v>
      </c>
      <c r="G75" s="204">
        <v>31845.200000000001</v>
      </c>
      <c r="H75" s="204">
        <v>34580.199999999997</v>
      </c>
      <c r="I75" s="213">
        <v>34580.199999999997</v>
      </c>
      <c r="J75" s="187"/>
      <c r="K75" s="3"/>
      <c r="L75" s="3"/>
      <c r="M75" s="3"/>
    </row>
    <row r="76" spans="1:13" ht="62.25" customHeight="1" x14ac:dyDescent="0.25">
      <c r="A76" s="192" t="s">
        <v>581</v>
      </c>
      <c r="B76" s="200"/>
      <c r="C76" s="194" t="s">
        <v>65</v>
      </c>
      <c r="D76" s="222" t="s">
        <v>1615</v>
      </c>
      <c r="E76" s="223" t="s">
        <v>66</v>
      </c>
      <c r="F76" s="214" t="s">
        <v>85</v>
      </c>
      <c r="G76" s="217">
        <v>4865</v>
      </c>
      <c r="H76" s="217">
        <v>4865</v>
      </c>
      <c r="I76" s="218">
        <v>5195</v>
      </c>
      <c r="J76" s="187"/>
      <c r="K76" s="3"/>
      <c r="L76" s="3"/>
      <c r="M76" s="3"/>
    </row>
    <row r="77" spans="1:13" ht="62.25" customHeight="1" x14ac:dyDescent="0.25">
      <c r="A77" s="199"/>
      <c r="B77" s="224"/>
      <c r="C77" s="211"/>
      <c r="D77" s="225" t="s">
        <v>595</v>
      </c>
      <c r="E77" s="107" t="s">
        <v>16</v>
      </c>
      <c r="F77" s="203" t="s">
        <v>55</v>
      </c>
      <c r="G77" s="204">
        <v>620812.9</v>
      </c>
      <c r="H77" s="204">
        <v>727998.8</v>
      </c>
      <c r="I77" s="213">
        <v>727108.23</v>
      </c>
      <c r="J77" s="187"/>
      <c r="K77" s="3"/>
      <c r="L77" s="3"/>
      <c r="M77" s="3"/>
    </row>
    <row r="78" spans="1:13" ht="37.5" customHeight="1" x14ac:dyDescent="0.25">
      <c r="A78" s="144" t="s">
        <v>584</v>
      </c>
      <c r="B78" s="145"/>
      <c r="C78" s="145"/>
      <c r="D78" s="147"/>
      <c r="E78" s="128" t="s">
        <v>17</v>
      </c>
      <c r="F78" s="128" t="s">
        <v>6</v>
      </c>
      <c r="G78" s="33">
        <f>G63+G65+G67+G69+G71+G73+G75+G77</f>
        <v>761127.5</v>
      </c>
      <c r="H78" s="33">
        <f>H63+H65+H67+H69+H71+H73+H75+H77</f>
        <v>871788.20000000007</v>
      </c>
      <c r="I78" s="79">
        <f>I63+I65+I67+I69+I71+I73+I75+I77</f>
        <v>870897.76</v>
      </c>
      <c r="J78" s="187"/>
      <c r="K78" s="3"/>
      <c r="L78" s="3"/>
      <c r="M78" s="3"/>
    </row>
    <row r="79" spans="1:13" ht="33.75" customHeight="1" x14ac:dyDescent="0.25">
      <c r="A79" s="144" t="s">
        <v>632</v>
      </c>
      <c r="B79" s="145"/>
      <c r="C79" s="145"/>
      <c r="D79" s="147"/>
      <c r="E79" s="129"/>
      <c r="F79" s="129"/>
      <c r="G79" s="61">
        <f>G78</f>
        <v>761127.5</v>
      </c>
      <c r="H79" s="61">
        <f>H78</f>
        <v>871788.20000000007</v>
      </c>
      <c r="I79" s="74">
        <f>I78</f>
        <v>870897.76</v>
      </c>
      <c r="J79" s="187"/>
      <c r="K79" s="3"/>
      <c r="L79" s="3"/>
      <c r="M79" s="3"/>
    </row>
    <row r="80" spans="1:13" x14ac:dyDescent="0.25">
      <c r="A80" s="144" t="s">
        <v>90</v>
      </c>
      <c r="B80" s="145"/>
      <c r="C80" s="145"/>
      <c r="D80" s="145"/>
      <c r="E80" s="145"/>
      <c r="F80" s="145"/>
      <c r="G80" s="145"/>
      <c r="H80" s="145"/>
      <c r="I80" s="145"/>
      <c r="J80" s="187"/>
      <c r="K80" s="3"/>
      <c r="L80" s="3"/>
      <c r="M80" s="3"/>
    </row>
    <row r="81" spans="1:13" ht="61.5" customHeight="1" x14ac:dyDescent="0.25">
      <c r="A81" s="116" t="s">
        <v>585</v>
      </c>
      <c r="B81" s="162" t="s">
        <v>88</v>
      </c>
      <c r="C81" s="116" t="s">
        <v>1535</v>
      </c>
      <c r="D81" s="107" t="s">
        <v>1616</v>
      </c>
      <c r="E81" s="30" t="s">
        <v>89</v>
      </c>
      <c r="F81" s="107" t="s">
        <v>85</v>
      </c>
      <c r="G81" s="19">
        <v>919799</v>
      </c>
      <c r="H81" s="19">
        <v>919799</v>
      </c>
      <c r="I81" s="73">
        <v>917543</v>
      </c>
      <c r="J81" s="187"/>
      <c r="K81" s="3"/>
      <c r="L81" s="3"/>
      <c r="M81" s="3"/>
    </row>
    <row r="82" spans="1:13" ht="60" x14ac:dyDescent="0.25">
      <c r="A82" s="117"/>
      <c r="B82" s="163"/>
      <c r="C82" s="117"/>
      <c r="D82" s="107" t="s">
        <v>596</v>
      </c>
      <c r="E82" s="107" t="s">
        <v>16</v>
      </c>
      <c r="F82" s="107" t="s">
        <v>6</v>
      </c>
      <c r="G82" s="20">
        <v>304196.09999999998</v>
      </c>
      <c r="H82" s="20">
        <v>303516.09999999998</v>
      </c>
      <c r="I82" s="76">
        <v>303516.09999999998</v>
      </c>
      <c r="J82" s="187"/>
      <c r="K82" s="3"/>
      <c r="L82" s="3"/>
      <c r="M82" s="3"/>
    </row>
    <row r="83" spans="1:13" ht="25.5" customHeight="1" x14ac:dyDescent="0.25">
      <c r="A83" s="144" t="s">
        <v>586</v>
      </c>
      <c r="B83" s="145"/>
      <c r="C83" s="145"/>
      <c r="D83" s="147"/>
      <c r="E83" s="128" t="s">
        <v>17</v>
      </c>
      <c r="F83" s="128" t="s">
        <v>6</v>
      </c>
      <c r="G83" s="61">
        <f>G82</f>
        <v>304196.09999999998</v>
      </c>
      <c r="H83" s="61">
        <f>H82</f>
        <v>303516.09999999998</v>
      </c>
      <c r="I83" s="74">
        <f>I82</f>
        <v>303516.09999999998</v>
      </c>
      <c r="J83" s="187"/>
      <c r="K83" s="3"/>
      <c r="L83" s="3"/>
      <c r="M83" s="3"/>
    </row>
    <row r="84" spans="1:13" ht="39" customHeight="1" x14ac:dyDescent="0.25">
      <c r="A84" s="144" t="s">
        <v>1170</v>
      </c>
      <c r="B84" s="145"/>
      <c r="C84" s="145"/>
      <c r="D84" s="147"/>
      <c r="E84" s="129"/>
      <c r="F84" s="129"/>
      <c r="G84" s="61">
        <f>G83</f>
        <v>304196.09999999998</v>
      </c>
      <c r="H84" s="61">
        <f>H83</f>
        <v>303516.09999999998</v>
      </c>
      <c r="I84" s="74">
        <f>+I83</f>
        <v>303516.09999999998</v>
      </c>
      <c r="J84" s="187"/>
      <c r="K84" s="3"/>
      <c r="L84" s="3"/>
      <c r="M84" s="3"/>
    </row>
    <row r="85" spans="1:13" ht="15.75" x14ac:dyDescent="0.25">
      <c r="A85" s="226" t="s">
        <v>91</v>
      </c>
      <c r="B85" s="227"/>
      <c r="C85" s="227"/>
      <c r="D85" s="227"/>
      <c r="E85" s="227"/>
      <c r="F85" s="227"/>
      <c r="G85" s="227"/>
      <c r="H85" s="227"/>
      <c r="I85" s="227"/>
      <c r="J85" s="187"/>
      <c r="K85" s="3"/>
      <c r="L85" s="3"/>
      <c r="M85" s="3"/>
    </row>
    <row r="86" spans="1:13" ht="65.25" customHeight="1" x14ac:dyDescent="0.25">
      <c r="A86" s="130" t="s">
        <v>598</v>
      </c>
      <c r="B86" s="228" t="s">
        <v>587</v>
      </c>
      <c r="C86" s="130" t="s">
        <v>92</v>
      </c>
      <c r="D86" s="107" t="s">
        <v>1617</v>
      </c>
      <c r="E86" s="107" t="s">
        <v>93</v>
      </c>
      <c r="F86" s="107" t="s">
        <v>85</v>
      </c>
      <c r="G86" s="19">
        <v>1000</v>
      </c>
      <c r="H86" s="19">
        <v>1000</v>
      </c>
      <c r="I86" s="73">
        <v>1001</v>
      </c>
      <c r="J86" s="187"/>
      <c r="K86" s="3"/>
      <c r="L86" s="3"/>
      <c r="M86" s="3"/>
    </row>
    <row r="87" spans="1:13" ht="60" x14ac:dyDescent="0.25">
      <c r="A87" s="130"/>
      <c r="B87" s="228"/>
      <c r="C87" s="130"/>
      <c r="D87" s="107" t="s">
        <v>597</v>
      </c>
      <c r="E87" s="107" t="s">
        <v>16</v>
      </c>
      <c r="F87" s="107" t="s">
        <v>6</v>
      </c>
      <c r="G87" s="20">
        <v>2775.7732799999999</v>
      </c>
      <c r="H87" s="20">
        <v>2869.1066099999998</v>
      </c>
      <c r="I87" s="76">
        <v>2869.1066099999998</v>
      </c>
      <c r="J87" s="187"/>
      <c r="K87" s="3"/>
      <c r="L87" s="3"/>
      <c r="M87" s="3"/>
    </row>
    <row r="88" spans="1:13" ht="63" customHeight="1" x14ac:dyDescent="0.25">
      <c r="A88" s="130" t="s">
        <v>599</v>
      </c>
      <c r="B88" s="228"/>
      <c r="C88" s="130" t="s">
        <v>94</v>
      </c>
      <c r="D88" s="107" t="s">
        <v>1618</v>
      </c>
      <c r="E88" s="107" t="s">
        <v>286</v>
      </c>
      <c r="F88" s="107" t="s">
        <v>80</v>
      </c>
      <c r="G88" s="19">
        <v>365503</v>
      </c>
      <c r="H88" s="19">
        <v>365503</v>
      </c>
      <c r="I88" s="73">
        <v>871839</v>
      </c>
      <c r="J88" s="187"/>
      <c r="K88" s="3"/>
      <c r="L88" s="3"/>
      <c r="M88" s="3"/>
    </row>
    <row r="89" spans="1:13" ht="70.5" customHeight="1" x14ac:dyDescent="0.25">
      <c r="A89" s="130"/>
      <c r="B89" s="228"/>
      <c r="C89" s="130"/>
      <c r="D89" s="107" t="s">
        <v>603</v>
      </c>
      <c r="E89" s="107" t="s">
        <v>16</v>
      </c>
      <c r="F89" s="107" t="s">
        <v>6</v>
      </c>
      <c r="G89" s="20">
        <v>3449.12329</v>
      </c>
      <c r="H89" s="20">
        <v>3565.7899600000001</v>
      </c>
      <c r="I89" s="76">
        <v>3565.7899600000001</v>
      </c>
      <c r="J89" s="187"/>
      <c r="K89" s="3"/>
      <c r="L89" s="3"/>
      <c r="M89" s="3"/>
    </row>
    <row r="90" spans="1:13" ht="64.5" customHeight="1" x14ac:dyDescent="0.25">
      <c r="A90" s="130" t="s">
        <v>600</v>
      </c>
      <c r="B90" s="228"/>
      <c r="C90" s="130" t="s">
        <v>95</v>
      </c>
      <c r="D90" s="107" t="s">
        <v>1619</v>
      </c>
      <c r="E90" s="107" t="s">
        <v>96</v>
      </c>
      <c r="F90" s="107" t="s">
        <v>85</v>
      </c>
      <c r="G90" s="111">
        <v>66</v>
      </c>
      <c r="H90" s="111">
        <v>66</v>
      </c>
      <c r="I90" s="77">
        <v>66</v>
      </c>
      <c r="J90" s="187"/>
      <c r="K90" s="3"/>
      <c r="L90" s="3"/>
      <c r="M90" s="3"/>
    </row>
    <row r="91" spans="1:13" ht="60" x14ac:dyDescent="0.25">
      <c r="A91" s="130"/>
      <c r="B91" s="228"/>
      <c r="C91" s="130"/>
      <c r="D91" s="107" t="s">
        <v>601</v>
      </c>
      <c r="E91" s="107" t="s">
        <v>16</v>
      </c>
      <c r="F91" s="107" t="s">
        <v>6</v>
      </c>
      <c r="G91" s="20">
        <v>6210.7034299999996</v>
      </c>
      <c r="H91" s="20">
        <v>6420.7034299999996</v>
      </c>
      <c r="I91" s="76">
        <v>6420.7034299999996</v>
      </c>
      <c r="J91" s="187"/>
      <c r="K91" s="3"/>
      <c r="L91" s="3"/>
      <c r="M91" s="3"/>
    </row>
    <row r="92" spans="1:13" ht="36" customHeight="1" x14ac:dyDescent="0.25">
      <c r="A92" s="229" t="s">
        <v>602</v>
      </c>
      <c r="B92" s="230"/>
      <c r="C92" s="230"/>
      <c r="D92" s="231"/>
      <c r="E92" s="128" t="s">
        <v>17</v>
      </c>
      <c r="F92" s="128" t="s">
        <v>6</v>
      </c>
      <c r="G92" s="59">
        <f>G91+G89+G87</f>
        <v>12435.599999999999</v>
      </c>
      <c r="H92" s="59">
        <f>H91+H89+H87</f>
        <v>12855.599999999999</v>
      </c>
      <c r="I92" s="81">
        <f>I91+I89+I87</f>
        <v>12855.599999999999</v>
      </c>
      <c r="J92" s="187"/>
      <c r="K92" s="3"/>
      <c r="L92" s="3"/>
      <c r="M92" s="3"/>
    </row>
    <row r="93" spans="1:13" ht="51.75" customHeight="1" x14ac:dyDescent="0.25">
      <c r="A93" s="144" t="s">
        <v>633</v>
      </c>
      <c r="B93" s="145"/>
      <c r="C93" s="145"/>
      <c r="D93" s="147"/>
      <c r="E93" s="129"/>
      <c r="F93" s="129"/>
      <c r="G93" s="62">
        <f>G92</f>
        <v>12435.599999999999</v>
      </c>
      <c r="H93" s="62">
        <f>H92</f>
        <v>12855.599999999999</v>
      </c>
      <c r="I93" s="75">
        <f>+I92</f>
        <v>12855.599999999999</v>
      </c>
      <c r="J93" s="187"/>
    </row>
    <row r="94" spans="1:13" ht="15" customHeight="1" x14ac:dyDescent="0.25">
      <c r="A94" s="232" t="s">
        <v>87</v>
      </c>
      <c r="B94" s="233"/>
      <c r="C94" s="233"/>
      <c r="D94" s="233"/>
      <c r="E94" s="233"/>
      <c r="F94" s="233"/>
      <c r="G94" s="233"/>
      <c r="H94" s="233"/>
      <c r="I94" s="233"/>
      <c r="J94" s="234"/>
      <c r="K94" s="50"/>
      <c r="L94" s="50"/>
      <c r="M94" s="50"/>
    </row>
    <row r="95" spans="1:13" ht="64.5" customHeight="1" x14ac:dyDescent="0.25">
      <c r="A95" s="130" t="s">
        <v>611</v>
      </c>
      <c r="B95" s="235" t="s">
        <v>1536</v>
      </c>
      <c r="C95" s="236" t="s">
        <v>77</v>
      </c>
      <c r="D95" s="115" t="s">
        <v>1620</v>
      </c>
      <c r="E95" s="237" t="s">
        <v>234</v>
      </c>
      <c r="F95" s="107" t="s">
        <v>80</v>
      </c>
      <c r="G95" s="238">
        <v>2560</v>
      </c>
      <c r="H95" s="238">
        <v>2560</v>
      </c>
      <c r="I95" s="239">
        <v>2541</v>
      </c>
      <c r="J95" s="187"/>
      <c r="K95" s="3"/>
      <c r="L95" s="3"/>
      <c r="M95" s="3"/>
    </row>
    <row r="96" spans="1:13" ht="50.25" customHeight="1" x14ac:dyDescent="0.25">
      <c r="A96" s="130"/>
      <c r="B96" s="240"/>
      <c r="C96" s="241"/>
      <c r="D96" s="107" t="s">
        <v>604</v>
      </c>
      <c r="E96" s="122" t="s">
        <v>16</v>
      </c>
      <c r="F96" s="122" t="s">
        <v>68</v>
      </c>
      <c r="G96" s="20">
        <v>250470.39999999999</v>
      </c>
      <c r="H96" s="20">
        <v>298537.3</v>
      </c>
      <c r="I96" s="76">
        <v>309037.3</v>
      </c>
      <c r="J96" s="187"/>
      <c r="K96" s="3"/>
      <c r="L96" s="3"/>
      <c r="M96" s="3"/>
    </row>
    <row r="97" spans="1:13" ht="18.75" customHeight="1" x14ac:dyDescent="0.25">
      <c r="A97" s="130"/>
      <c r="B97" s="240"/>
      <c r="C97" s="241"/>
      <c r="D97" s="107" t="s">
        <v>605</v>
      </c>
      <c r="E97" s="123"/>
      <c r="F97" s="123"/>
      <c r="G97" s="20">
        <v>439631.4</v>
      </c>
      <c r="H97" s="20">
        <v>467564</v>
      </c>
      <c r="I97" s="76">
        <v>471320.2</v>
      </c>
      <c r="J97" s="187"/>
      <c r="K97" s="3"/>
      <c r="L97" s="3"/>
      <c r="M97" s="3"/>
    </row>
    <row r="98" spans="1:13" ht="18.75" customHeight="1" x14ac:dyDescent="0.25">
      <c r="A98" s="130"/>
      <c r="B98" s="240"/>
      <c r="C98" s="241"/>
      <c r="D98" s="107" t="s">
        <v>606</v>
      </c>
      <c r="E98" s="123"/>
      <c r="F98" s="123"/>
      <c r="G98" s="20">
        <f>146132.9-1305.1</f>
        <v>144827.79999999999</v>
      </c>
      <c r="H98" s="20">
        <f>140925.2-815.4</f>
        <v>140109.80000000002</v>
      </c>
      <c r="I98" s="76">
        <f>131863.7-815.4</f>
        <v>131048.30000000002</v>
      </c>
      <c r="J98" s="187"/>
      <c r="K98" s="3"/>
      <c r="L98" s="3"/>
      <c r="M98" s="3"/>
    </row>
    <row r="99" spans="1:13" ht="18.75" customHeight="1" x14ac:dyDescent="0.25">
      <c r="A99" s="130"/>
      <c r="B99" s="240"/>
      <c r="C99" s="241"/>
      <c r="D99" s="107" t="s">
        <v>607</v>
      </c>
      <c r="E99" s="123"/>
      <c r="F99" s="123"/>
      <c r="G99" s="20">
        <f>127285.4</f>
        <v>127285.4</v>
      </c>
      <c r="H99" s="20">
        <f>127285.4</f>
        <v>127285.4</v>
      </c>
      <c r="I99" s="76">
        <f>H99</f>
        <v>127285.4</v>
      </c>
      <c r="J99" s="187"/>
      <c r="K99" s="3"/>
      <c r="L99" s="3"/>
      <c r="M99" s="3"/>
    </row>
    <row r="100" spans="1:13" ht="17.25" customHeight="1" x14ac:dyDescent="0.25">
      <c r="A100" s="130"/>
      <c r="B100" s="240"/>
      <c r="C100" s="241"/>
      <c r="D100" s="107" t="s">
        <v>608</v>
      </c>
      <c r="E100" s="123"/>
      <c r="F100" s="123"/>
      <c r="G100" s="20">
        <f>284655.7-186856.04</f>
        <v>97799.66</v>
      </c>
      <c r="H100" s="20">
        <f>284655.7-186856.04</f>
        <v>97799.66</v>
      </c>
      <c r="I100" s="76">
        <f>284655.7-186856.04</f>
        <v>97799.66</v>
      </c>
      <c r="J100" s="187"/>
      <c r="K100" s="3"/>
      <c r="L100" s="3"/>
      <c r="M100" s="3"/>
    </row>
    <row r="101" spans="1:13" ht="18" customHeight="1" x14ac:dyDescent="0.25">
      <c r="A101" s="130"/>
      <c r="B101" s="240"/>
      <c r="C101" s="241"/>
      <c r="D101" s="107" t="s">
        <v>609</v>
      </c>
      <c r="E101" s="123"/>
      <c r="F101" s="123"/>
      <c r="G101" s="20">
        <f>124365.5-40114.96</f>
        <v>84250.540000000008</v>
      </c>
      <c r="H101" s="20">
        <f>133571.5-45101.14</f>
        <v>88470.36</v>
      </c>
      <c r="I101" s="76">
        <f>H101</f>
        <v>88470.36</v>
      </c>
      <c r="J101" s="187"/>
      <c r="K101" s="3"/>
      <c r="L101" s="3"/>
      <c r="M101" s="3"/>
    </row>
    <row r="102" spans="1:13" ht="16.5" customHeight="1" x14ac:dyDescent="0.25">
      <c r="A102" s="130"/>
      <c r="B102" s="240"/>
      <c r="C102" s="241"/>
      <c r="D102" s="107" t="s">
        <v>610</v>
      </c>
      <c r="E102" s="123"/>
      <c r="F102" s="123"/>
      <c r="G102" s="20">
        <v>0</v>
      </c>
      <c r="H102" s="20">
        <f>I102</f>
        <v>7549.9</v>
      </c>
      <c r="I102" s="76">
        <v>7549.9</v>
      </c>
      <c r="J102" s="187"/>
      <c r="K102" s="3"/>
      <c r="L102" s="3"/>
      <c r="M102" s="3"/>
    </row>
    <row r="103" spans="1:13" ht="16.5" customHeight="1" x14ac:dyDescent="0.25">
      <c r="A103" s="130"/>
      <c r="B103" s="240"/>
      <c r="C103" s="242"/>
      <c r="D103" s="107" t="s">
        <v>613</v>
      </c>
      <c r="E103" s="124"/>
      <c r="F103" s="124"/>
      <c r="G103" s="20">
        <v>0</v>
      </c>
      <c r="H103" s="20">
        <f>I103</f>
        <v>6874.8</v>
      </c>
      <c r="I103" s="76">
        <v>6874.8</v>
      </c>
      <c r="J103" s="187"/>
      <c r="K103" s="3"/>
      <c r="L103" s="3"/>
      <c r="M103" s="3"/>
    </row>
    <row r="104" spans="1:13" ht="60.75" customHeight="1" x14ac:dyDescent="0.25">
      <c r="A104" s="130" t="s">
        <v>612</v>
      </c>
      <c r="B104" s="240"/>
      <c r="C104" s="120" t="s">
        <v>79</v>
      </c>
      <c r="D104" s="5" t="s">
        <v>1621</v>
      </c>
      <c r="E104" s="243" t="s">
        <v>235</v>
      </c>
      <c r="F104" s="100" t="s">
        <v>80</v>
      </c>
      <c r="G104" s="244">
        <v>2079</v>
      </c>
      <c r="H104" s="244">
        <v>2079</v>
      </c>
      <c r="I104" s="245">
        <v>2003</v>
      </c>
      <c r="J104" s="187"/>
      <c r="K104" s="3"/>
      <c r="L104" s="3"/>
      <c r="M104" s="3"/>
    </row>
    <row r="105" spans="1:13" ht="49.5" customHeight="1" x14ac:dyDescent="0.25">
      <c r="A105" s="130"/>
      <c r="B105" s="240"/>
      <c r="C105" s="120"/>
      <c r="D105" s="107" t="s">
        <v>614</v>
      </c>
      <c r="E105" s="116" t="s">
        <v>16</v>
      </c>
      <c r="F105" s="116" t="s">
        <v>6</v>
      </c>
      <c r="G105" s="20">
        <f>1036410.3-105086.97</f>
        <v>931323.33000000007</v>
      </c>
      <c r="H105" s="20">
        <f>1085360.2-105086.97-4443.6</f>
        <v>975829.63</v>
      </c>
      <c r="I105" s="76">
        <f>H105+17282.6</f>
        <v>993112.23</v>
      </c>
      <c r="J105" s="187"/>
      <c r="K105" s="3"/>
      <c r="L105" s="3"/>
      <c r="M105" s="3"/>
    </row>
    <row r="106" spans="1:13" ht="21.75" customHeight="1" x14ac:dyDescent="0.25">
      <c r="A106" s="130"/>
      <c r="B106" s="240"/>
      <c r="C106" s="246"/>
      <c r="D106" s="107" t="s">
        <v>615</v>
      </c>
      <c r="E106" s="117"/>
      <c r="F106" s="117"/>
      <c r="G106" s="20">
        <v>16436.5</v>
      </c>
      <c r="H106" s="20">
        <v>16436.5</v>
      </c>
      <c r="I106" s="76">
        <f>H106</f>
        <v>16436.5</v>
      </c>
      <c r="J106" s="187"/>
      <c r="K106" s="3"/>
      <c r="L106" s="3"/>
      <c r="M106" s="3"/>
    </row>
    <row r="107" spans="1:13" ht="72.75" customHeight="1" x14ac:dyDescent="0.25">
      <c r="A107" s="116" t="s">
        <v>616</v>
      </c>
      <c r="B107" s="240"/>
      <c r="C107" s="155" t="s">
        <v>1537</v>
      </c>
      <c r="D107" s="13" t="s">
        <v>1622</v>
      </c>
      <c r="E107" s="12" t="s">
        <v>1538</v>
      </c>
      <c r="F107" s="107" t="s">
        <v>80</v>
      </c>
      <c r="G107" s="244">
        <v>5618</v>
      </c>
      <c r="H107" s="244">
        <v>5820</v>
      </c>
      <c r="I107" s="245">
        <v>5820</v>
      </c>
      <c r="J107" s="187"/>
      <c r="K107" s="3"/>
      <c r="L107" s="3"/>
      <c r="M107" s="3"/>
    </row>
    <row r="108" spans="1:13" ht="48.75" customHeight="1" x14ac:dyDescent="0.25">
      <c r="A108" s="118"/>
      <c r="B108" s="240"/>
      <c r="C108" s="120"/>
      <c r="D108" s="107" t="s">
        <v>618</v>
      </c>
      <c r="E108" s="116" t="s">
        <v>16</v>
      </c>
      <c r="F108" s="116" t="s">
        <v>6</v>
      </c>
      <c r="G108" s="20">
        <f>679529.9-127285.4-7000</f>
        <v>545244.5</v>
      </c>
      <c r="H108" s="20">
        <f>692406.4-7000-127285.4-1100</f>
        <v>557021</v>
      </c>
      <c r="I108" s="76">
        <f>H108+25331.4</f>
        <v>582352.4</v>
      </c>
      <c r="J108" s="187"/>
      <c r="K108" s="3"/>
      <c r="L108" s="3"/>
      <c r="M108" s="3"/>
    </row>
    <row r="109" spans="1:13" ht="29.25" customHeight="1" x14ac:dyDescent="0.25">
      <c r="A109" s="118"/>
      <c r="B109" s="240"/>
      <c r="C109" s="120"/>
      <c r="D109" s="107" t="s">
        <v>609</v>
      </c>
      <c r="E109" s="118"/>
      <c r="F109" s="118"/>
      <c r="G109" s="20">
        <v>40114.959999999999</v>
      </c>
      <c r="H109" s="20">
        <v>45101.14</v>
      </c>
      <c r="I109" s="76">
        <f>H109+2742.1</f>
        <v>47843.24</v>
      </c>
      <c r="J109" s="187"/>
      <c r="K109" s="3"/>
      <c r="L109" s="3"/>
      <c r="M109" s="3"/>
    </row>
    <row r="110" spans="1:13" ht="45" customHeight="1" x14ac:dyDescent="0.25">
      <c r="A110" s="117"/>
      <c r="B110" s="240"/>
      <c r="C110" s="246"/>
      <c r="D110" s="107" t="s">
        <v>608</v>
      </c>
      <c r="E110" s="117"/>
      <c r="F110" s="117"/>
      <c r="G110" s="20">
        <v>23042.5</v>
      </c>
      <c r="H110" s="20">
        <f>23042.5</f>
        <v>23042.5</v>
      </c>
      <c r="I110" s="76">
        <f>H110+4570.8</f>
        <v>27613.3</v>
      </c>
      <c r="J110" s="187"/>
      <c r="K110" s="3"/>
      <c r="L110" s="3"/>
      <c r="M110" s="3"/>
    </row>
    <row r="111" spans="1:13" ht="106.5" customHeight="1" x14ac:dyDescent="0.25">
      <c r="A111" s="116" t="s">
        <v>617</v>
      </c>
      <c r="B111" s="240"/>
      <c r="C111" s="155" t="s">
        <v>1539</v>
      </c>
      <c r="D111" s="13" t="s">
        <v>1622</v>
      </c>
      <c r="E111" s="12" t="s">
        <v>1540</v>
      </c>
      <c r="F111" s="5" t="s">
        <v>80</v>
      </c>
      <c r="G111" s="244">
        <v>30300</v>
      </c>
      <c r="H111" s="244">
        <v>30300</v>
      </c>
      <c r="I111" s="245">
        <v>30608</v>
      </c>
      <c r="J111" s="187"/>
      <c r="K111" s="3"/>
      <c r="L111" s="3"/>
      <c r="M111" s="3"/>
    </row>
    <row r="112" spans="1:13" ht="94.5" customHeight="1" x14ac:dyDescent="0.25">
      <c r="A112" s="117"/>
      <c r="B112" s="240"/>
      <c r="C112" s="156"/>
      <c r="D112" s="107" t="s">
        <v>619</v>
      </c>
      <c r="E112" s="107" t="s">
        <v>16</v>
      </c>
      <c r="F112" s="107" t="s">
        <v>6</v>
      </c>
      <c r="G112" s="20">
        <v>10941.3</v>
      </c>
      <c r="H112" s="20">
        <v>10941.3</v>
      </c>
      <c r="I112" s="76">
        <f>H112</f>
        <v>10941.3</v>
      </c>
      <c r="J112" s="187"/>
      <c r="K112" s="3"/>
      <c r="L112" s="3"/>
      <c r="M112" s="3"/>
    </row>
    <row r="113" spans="1:13" ht="63.75" customHeight="1" x14ac:dyDescent="0.25">
      <c r="A113" s="116" t="s">
        <v>620</v>
      </c>
      <c r="B113" s="240"/>
      <c r="C113" s="159" t="s">
        <v>81</v>
      </c>
      <c r="D113" s="5" t="s">
        <v>1623</v>
      </c>
      <c r="E113" s="12" t="s">
        <v>78</v>
      </c>
      <c r="F113" s="107" t="s">
        <v>80</v>
      </c>
      <c r="G113" s="244">
        <v>5976</v>
      </c>
      <c r="H113" s="244">
        <v>5976</v>
      </c>
      <c r="I113" s="245">
        <v>5295</v>
      </c>
      <c r="J113" s="187"/>
      <c r="K113" s="3"/>
      <c r="L113" s="3"/>
      <c r="M113" s="3"/>
    </row>
    <row r="114" spans="1:13" ht="45.75" customHeight="1" x14ac:dyDescent="0.25">
      <c r="A114" s="120"/>
      <c r="B114" s="240"/>
      <c r="C114" s="160"/>
      <c r="D114" s="107" t="s">
        <v>619</v>
      </c>
      <c r="E114" s="116" t="s">
        <v>16</v>
      </c>
      <c r="F114" s="116" t="s">
        <v>6</v>
      </c>
      <c r="G114" s="20">
        <v>49740.12</v>
      </c>
      <c r="H114" s="20">
        <v>49740.12</v>
      </c>
      <c r="I114" s="76">
        <v>49740.12</v>
      </c>
      <c r="J114" s="187"/>
      <c r="K114" s="3"/>
      <c r="L114" s="3"/>
      <c r="M114" s="3"/>
    </row>
    <row r="115" spans="1:13" ht="30.75" customHeight="1" x14ac:dyDescent="0.25">
      <c r="A115" s="120"/>
      <c r="B115" s="240"/>
      <c r="C115" s="160"/>
      <c r="D115" s="107" t="s">
        <v>608</v>
      </c>
      <c r="E115" s="118"/>
      <c r="F115" s="118"/>
      <c r="G115" s="20">
        <v>163813.53899999999</v>
      </c>
      <c r="H115" s="20">
        <v>163813.53899999999</v>
      </c>
      <c r="I115" s="76">
        <v>163813.53899999999</v>
      </c>
      <c r="J115" s="187"/>
      <c r="K115" s="3"/>
      <c r="L115" s="3"/>
      <c r="M115" s="3"/>
    </row>
    <row r="116" spans="1:13" ht="54.75" customHeight="1" x14ac:dyDescent="0.25">
      <c r="A116" s="121"/>
      <c r="B116" s="240"/>
      <c r="C116" s="161"/>
      <c r="D116" s="107" t="s">
        <v>606</v>
      </c>
      <c r="E116" s="117"/>
      <c r="F116" s="117"/>
      <c r="G116" s="20">
        <v>1305.0999999999999</v>
      </c>
      <c r="H116" s="20">
        <v>815.4</v>
      </c>
      <c r="I116" s="76">
        <v>815.4</v>
      </c>
      <c r="J116" s="187"/>
      <c r="K116" s="3"/>
      <c r="L116" s="3"/>
      <c r="M116" s="3"/>
    </row>
    <row r="117" spans="1:13" ht="65.25" customHeight="1" x14ac:dyDescent="0.25">
      <c r="A117" s="116" t="s">
        <v>622</v>
      </c>
      <c r="B117" s="240"/>
      <c r="C117" s="119" t="s">
        <v>82</v>
      </c>
      <c r="D117" s="13" t="s">
        <v>1624</v>
      </c>
      <c r="E117" s="5" t="s">
        <v>235</v>
      </c>
      <c r="F117" s="5" t="s">
        <v>80</v>
      </c>
      <c r="G117" s="244">
        <v>477</v>
      </c>
      <c r="H117" s="244">
        <v>477</v>
      </c>
      <c r="I117" s="245">
        <v>539</v>
      </c>
      <c r="J117" s="187"/>
      <c r="K117" s="3"/>
      <c r="L117" s="3"/>
      <c r="M117" s="3"/>
    </row>
    <row r="118" spans="1:13" ht="60" x14ac:dyDescent="0.25">
      <c r="A118" s="117"/>
      <c r="B118" s="240"/>
      <c r="C118" s="121"/>
      <c r="D118" s="107" t="s">
        <v>619</v>
      </c>
      <c r="E118" s="107" t="s">
        <v>16</v>
      </c>
      <c r="F118" s="107" t="s">
        <v>6</v>
      </c>
      <c r="G118" s="20">
        <v>32225.5</v>
      </c>
      <c r="H118" s="20">
        <v>32225.5</v>
      </c>
      <c r="I118" s="76">
        <f>H118</f>
        <v>32225.5</v>
      </c>
      <c r="J118" s="187"/>
      <c r="K118" s="3"/>
      <c r="L118" s="3"/>
      <c r="M118" s="3"/>
    </row>
    <row r="119" spans="1:13" ht="63" customHeight="1" x14ac:dyDescent="0.25">
      <c r="A119" s="130" t="s">
        <v>623</v>
      </c>
      <c r="B119" s="240"/>
      <c r="C119" s="119" t="s">
        <v>83</v>
      </c>
      <c r="D119" s="13" t="s">
        <v>1625</v>
      </c>
      <c r="E119" s="12" t="s">
        <v>78</v>
      </c>
      <c r="F119" s="5" t="s">
        <v>80</v>
      </c>
      <c r="G119" s="244">
        <v>100</v>
      </c>
      <c r="H119" s="244">
        <v>100</v>
      </c>
      <c r="I119" s="245">
        <v>97</v>
      </c>
      <c r="J119" s="187"/>
      <c r="K119" s="3"/>
      <c r="L119" s="3"/>
      <c r="M119" s="3"/>
    </row>
    <row r="120" spans="1:13" ht="60" x14ac:dyDescent="0.25">
      <c r="A120" s="130"/>
      <c r="B120" s="240"/>
      <c r="C120" s="121"/>
      <c r="D120" s="107" t="s">
        <v>621</v>
      </c>
      <c r="E120" s="107" t="s">
        <v>16</v>
      </c>
      <c r="F120" s="107" t="s">
        <v>6</v>
      </c>
      <c r="G120" s="20">
        <v>7000</v>
      </c>
      <c r="H120" s="20">
        <v>7000</v>
      </c>
      <c r="I120" s="76">
        <f>H120</f>
        <v>7000</v>
      </c>
      <c r="J120" s="187"/>
      <c r="K120" s="3"/>
      <c r="L120" s="3"/>
      <c r="M120" s="3"/>
    </row>
    <row r="121" spans="1:13" ht="63" customHeight="1" x14ac:dyDescent="0.25">
      <c r="A121" s="116" t="s">
        <v>624</v>
      </c>
      <c r="B121" s="240"/>
      <c r="C121" s="247" t="s">
        <v>84</v>
      </c>
      <c r="D121" s="5" t="s">
        <v>1626</v>
      </c>
      <c r="E121" s="107" t="s">
        <v>141</v>
      </c>
      <c r="F121" s="107" t="s">
        <v>85</v>
      </c>
      <c r="G121" s="244">
        <v>22</v>
      </c>
      <c r="H121" s="244">
        <v>22</v>
      </c>
      <c r="I121" s="245">
        <v>22</v>
      </c>
      <c r="J121" s="187"/>
      <c r="K121" s="3"/>
      <c r="L121" s="3"/>
      <c r="M121" s="3"/>
    </row>
    <row r="122" spans="1:13" ht="60" x14ac:dyDescent="0.25">
      <c r="A122" s="117"/>
      <c r="B122" s="240"/>
      <c r="C122" s="248"/>
      <c r="D122" s="107" t="s">
        <v>619</v>
      </c>
      <c r="E122" s="107" t="s">
        <v>16</v>
      </c>
      <c r="F122" s="107" t="s">
        <v>6</v>
      </c>
      <c r="G122" s="20">
        <v>7308.0306099999998</v>
      </c>
      <c r="H122" s="20">
        <v>7308.0306099999998</v>
      </c>
      <c r="I122" s="76">
        <f>H122</f>
        <v>7308.0306099999998</v>
      </c>
      <c r="J122" s="187"/>
      <c r="K122" s="3"/>
      <c r="L122" s="3"/>
      <c r="M122" s="3"/>
    </row>
    <row r="123" spans="1:13" ht="66" customHeight="1" x14ac:dyDescent="0.25">
      <c r="A123" s="116" t="s">
        <v>1541</v>
      </c>
      <c r="B123" s="240"/>
      <c r="C123" s="249" t="s">
        <v>86</v>
      </c>
      <c r="D123" s="107" t="s">
        <v>1627</v>
      </c>
      <c r="E123" s="107" t="s">
        <v>1542</v>
      </c>
      <c r="F123" s="107" t="s">
        <v>85</v>
      </c>
      <c r="G123" s="244">
        <v>8665</v>
      </c>
      <c r="H123" s="244">
        <v>8665</v>
      </c>
      <c r="I123" s="245">
        <v>8665</v>
      </c>
      <c r="J123" s="187"/>
      <c r="K123" s="3"/>
      <c r="L123" s="3"/>
      <c r="M123" s="3"/>
    </row>
    <row r="124" spans="1:13" ht="60" x14ac:dyDescent="0.25">
      <c r="A124" s="117"/>
      <c r="B124" s="250"/>
      <c r="C124" s="121"/>
      <c r="D124" s="107" t="s">
        <v>619</v>
      </c>
      <c r="E124" s="107" t="s">
        <v>16</v>
      </c>
      <c r="F124" s="107" t="s">
        <v>6</v>
      </c>
      <c r="G124" s="20">
        <v>4872.0204100000001</v>
      </c>
      <c r="H124" s="20">
        <v>4872.0204100000001</v>
      </c>
      <c r="I124" s="76">
        <f>H124</f>
        <v>4872.0204100000001</v>
      </c>
      <c r="J124" s="187"/>
      <c r="K124" s="3"/>
      <c r="L124" s="3"/>
      <c r="M124" s="3"/>
    </row>
    <row r="125" spans="1:13" ht="22.5" customHeight="1" x14ac:dyDescent="0.25">
      <c r="A125" s="144" t="s">
        <v>625</v>
      </c>
      <c r="B125" s="145"/>
      <c r="C125" s="145"/>
      <c r="D125" s="147"/>
      <c r="E125" s="128" t="s">
        <v>17</v>
      </c>
      <c r="F125" s="128" t="s">
        <v>6</v>
      </c>
      <c r="G125" s="251">
        <f>G124+G122+G120+G118+G115+G114+G112+G110+G109+G108+G106+G105+G101+G100+G99+G98+G97+G96+G116+G102+G103</f>
        <v>2977632.6000199998</v>
      </c>
      <c r="H125" s="251">
        <f>H124+H122+H120+H118+H115+H114+H112+H110+H109+H108+H106+H105+H101+H100+H99+H98+H97+H96+H116+H102+H103</f>
        <v>3128337.9000199991</v>
      </c>
      <c r="I125" s="252">
        <f>I124+I122+I120+I118+I115+I114+I112+I110+I109+I108+I106+I105+I101+I100+I99+I98+I97+I96+I116+I102+I103</f>
        <v>3183459.5000199992</v>
      </c>
      <c r="J125" s="187"/>
      <c r="K125" s="3"/>
      <c r="L125" s="3"/>
      <c r="M125" s="3"/>
    </row>
    <row r="126" spans="1:13" ht="42.75" customHeight="1" x14ac:dyDescent="0.25">
      <c r="A126" s="144" t="s">
        <v>630</v>
      </c>
      <c r="B126" s="145"/>
      <c r="C126" s="145"/>
      <c r="D126" s="147"/>
      <c r="E126" s="129"/>
      <c r="F126" s="129"/>
      <c r="G126" s="251">
        <f>G125</f>
        <v>2977632.6000199998</v>
      </c>
      <c r="H126" s="251">
        <f>H125</f>
        <v>3128337.9000199991</v>
      </c>
      <c r="I126" s="252">
        <f>+I125</f>
        <v>3183459.5000199992</v>
      </c>
      <c r="J126" s="187"/>
      <c r="K126" s="3"/>
      <c r="L126" s="3"/>
      <c r="M126" s="3"/>
    </row>
    <row r="127" spans="1:13" ht="15.75" x14ac:dyDescent="0.25">
      <c r="A127" s="138" t="s">
        <v>101</v>
      </c>
      <c r="B127" s="139"/>
      <c r="C127" s="139"/>
      <c r="D127" s="139"/>
      <c r="E127" s="139"/>
      <c r="F127" s="139"/>
      <c r="G127" s="139"/>
      <c r="H127" s="139"/>
      <c r="I127" s="139"/>
      <c r="J127" s="187"/>
      <c r="K127" s="3"/>
      <c r="L127" s="3"/>
      <c r="M127" s="3"/>
    </row>
    <row r="128" spans="1:13" ht="63.75" customHeight="1" x14ac:dyDescent="0.25">
      <c r="A128" s="116" t="s">
        <v>626</v>
      </c>
      <c r="B128" s="116" t="s">
        <v>628</v>
      </c>
      <c r="C128" s="116" t="s">
        <v>98</v>
      </c>
      <c r="D128" s="107" t="s">
        <v>1628</v>
      </c>
      <c r="E128" s="107" t="s">
        <v>287</v>
      </c>
      <c r="F128" s="107" t="s">
        <v>85</v>
      </c>
      <c r="G128" s="107" t="s">
        <v>99</v>
      </c>
      <c r="H128" s="107" t="s">
        <v>100</v>
      </c>
      <c r="I128" s="87" t="s">
        <v>100</v>
      </c>
      <c r="J128" s="187"/>
      <c r="K128" s="3"/>
      <c r="L128" s="3"/>
      <c r="M128" s="3"/>
    </row>
    <row r="129" spans="1:13" ht="60" x14ac:dyDescent="0.25">
      <c r="A129" s="117"/>
      <c r="B129" s="117"/>
      <c r="C129" s="117"/>
      <c r="D129" s="107" t="s">
        <v>627</v>
      </c>
      <c r="E129" s="107" t="s">
        <v>16</v>
      </c>
      <c r="F129" s="107" t="s">
        <v>6</v>
      </c>
      <c r="G129" s="20">
        <v>4328.6000000000004</v>
      </c>
      <c r="H129" s="20">
        <v>4328.6000000000004</v>
      </c>
      <c r="I129" s="76">
        <v>5889.6</v>
      </c>
      <c r="J129" s="187"/>
      <c r="K129" s="3"/>
      <c r="L129" s="3"/>
      <c r="M129" s="3"/>
    </row>
    <row r="130" spans="1:13" ht="36.75" customHeight="1" x14ac:dyDescent="0.25">
      <c r="A130" s="144" t="s">
        <v>629</v>
      </c>
      <c r="B130" s="145"/>
      <c r="C130" s="145"/>
      <c r="D130" s="147"/>
      <c r="E130" s="128" t="s">
        <v>17</v>
      </c>
      <c r="F130" s="128" t="s">
        <v>6</v>
      </c>
      <c r="G130" s="59">
        <f>G129</f>
        <v>4328.6000000000004</v>
      </c>
      <c r="H130" s="59">
        <f>H129</f>
        <v>4328.6000000000004</v>
      </c>
      <c r="I130" s="81">
        <f>+I129</f>
        <v>5889.6</v>
      </c>
      <c r="J130" s="187"/>
      <c r="K130" s="3"/>
      <c r="L130" s="3"/>
      <c r="M130" s="3"/>
    </row>
    <row r="131" spans="1:13" ht="36.75" customHeight="1" x14ac:dyDescent="0.25">
      <c r="A131" s="144" t="s">
        <v>634</v>
      </c>
      <c r="B131" s="145"/>
      <c r="C131" s="145"/>
      <c r="D131" s="147"/>
      <c r="E131" s="129"/>
      <c r="F131" s="129"/>
      <c r="G131" s="62">
        <f>G130</f>
        <v>4328.6000000000004</v>
      </c>
      <c r="H131" s="62">
        <f>H130</f>
        <v>4328.6000000000004</v>
      </c>
      <c r="I131" s="75">
        <f>+I130</f>
        <v>5889.6</v>
      </c>
      <c r="J131" s="187"/>
      <c r="K131" s="3"/>
      <c r="L131" s="3"/>
      <c r="M131" s="3"/>
    </row>
    <row r="132" spans="1:13" ht="15.75" x14ac:dyDescent="0.25">
      <c r="A132" s="138" t="s">
        <v>107</v>
      </c>
      <c r="B132" s="139"/>
      <c r="C132" s="139"/>
      <c r="D132" s="139"/>
      <c r="E132" s="139"/>
      <c r="F132" s="139"/>
      <c r="G132" s="139"/>
      <c r="H132" s="139"/>
      <c r="I132" s="139"/>
      <c r="J132" s="187"/>
      <c r="K132" s="3"/>
      <c r="L132" s="3"/>
      <c r="M132" s="3"/>
    </row>
    <row r="133" spans="1:13" ht="60.75" customHeight="1" x14ac:dyDescent="0.25">
      <c r="A133" s="116" t="s">
        <v>638</v>
      </c>
      <c r="B133" s="122" t="s">
        <v>635</v>
      </c>
      <c r="C133" s="253" t="s">
        <v>102</v>
      </c>
      <c r="D133" s="113" t="s">
        <v>1629</v>
      </c>
      <c r="E133" s="113" t="s">
        <v>288</v>
      </c>
      <c r="F133" s="107" t="s">
        <v>103</v>
      </c>
      <c r="G133" s="254" t="s">
        <v>104</v>
      </c>
      <c r="H133" s="107" t="s">
        <v>104</v>
      </c>
      <c r="I133" s="255" t="s">
        <v>104</v>
      </c>
      <c r="J133" s="187"/>
      <c r="K133" s="3"/>
      <c r="L133" s="3"/>
      <c r="M133" s="3"/>
    </row>
    <row r="134" spans="1:13" ht="60" x14ac:dyDescent="0.25">
      <c r="A134" s="117"/>
      <c r="B134" s="123"/>
      <c r="C134" s="256"/>
      <c r="D134" s="113" t="s">
        <v>642</v>
      </c>
      <c r="E134" s="107" t="s">
        <v>17</v>
      </c>
      <c r="F134" s="107" t="s">
        <v>6</v>
      </c>
      <c r="G134" s="110">
        <v>2813.7</v>
      </c>
      <c r="H134" s="257">
        <v>2897.5</v>
      </c>
      <c r="I134" s="80">
        <v>2897.6</v>
      </c>
      <c r="J134" s="187"/>
      <c r="K134" s="3"/>
      <c r="L134" s="3"/>
      <c r="M134" s="3"/>
    </row>
    <row r="135" spans="1:13" ht="62.25" customHeight="1" x14ac:dyDescent="0.25">
      <c r="A135" s="116" t="s">
        <v>639</v>
      </c>
      <c r="B135" s="123"/>
      <c r="C135" s="253" t="s">
        <v>102</v>
      </c>
      <c r="D135" s="113" t="s">
        <v>1629</v>
      </c>
      <c r="E135" s="113" t="s">
        <v>29</v>
      </c>
      <c r="F135" s="107" t="s">
        <v>103</v>
      </c>
      <c r="G135" s="107" t="s">
        <v>40</v>
      </c>
      <c r="H135" s="5" t="s">
        <v>15</v>
      </c>
      <c r="I135" s="255" t="s">
        <v>15</v>
      </c>
      <c r="J135" s="187"/>
      <c r="K135" s="3"/>
      <c r="L135" s="3"/>
      <c r="M135" s="3"/>
    </row>
    <row r="136" spans="1:13" ht="60" x14ac:dyDescent="0.25">
      <c r="A136" s="117"/>
      <c r="B136" s="123"/>
      <c r="C136" s="256"/>
      <c r="D136" s="113" t="s">
        <v>642</v>
      </c>
      <c r="E136" s="107" t="s">
        <v>17</v>
      </c>
      <c r="F136" s="107" t="s">
        <v>6</v>
      </c>
      <c r="G136" s="110">
        <v>17630.2</v>
      </c>
      <c r="H136" s="110">
        <v>17513.3</v>
      </c>
      <c r="I136" s="80">
        <v>18155.7</v>
      </c>
      <c r="J136" s="187"/>
      <c r="K136" s="3"/>
      <c r="L136" s="3"/>
      <c r="M136" s="3"/>
    </row>
    <row r="137" spans="1:13" ht="63.75" customHeight="1" x14ac:dyDescent="0.25">
      <c r="A137" s="116" t="s">
        <v>640</v>
      </c>
      <c r="B137" s="123"/>
      <c r="C137" s="253" t="s">
        <v>102</v>
      </c>
      <c r="D137" s="113" t="s">
        <v>1629</v>
      </c>
      <c r="E137" s="107" t="s">
        <v>185</v>
      </c>
      <c r="F137" s="107" t="s">
        <v>80</v>
      </c>
      <c r="G137" s="19">
        <v>1600</v>
      </c>
      <c r="H137" s="258">
        <v>1600</v>
      </c>
      <c r="I137" s="73">
        <v>1600</v>
      </c>
      <c r="J137" s="187"/>
      <c r="K137" s="3"/>
      <c r="L137" s="3"/>
      <c r="M137" s="3"/>
    </row>
    <row r="138" spans="1:13" ht="60" x14ac:dyDescent="0.25">
      <c r="A138" s="117"/>
      <c r="B138" s="123"/>
      <c r="C138" s="256"/>
      <c r="D138" s="113" t="s">
        <v>642</v>
      </c>
      <c r="E138" s="107" t="s">
        <v>17</v>
      </c>
      <c r="F138" s="107" t="s">
        <v>6</v>
      </c>
      <c r="G138" s="110">
        <v>2813.7</v>
      </c>
      <c r="H138" s="110">
        <v>2897.5</v>
      </c>
      <c r="I138" s="80">
        <v>2897.6</v>
      </c>
      <c r="J138" s="187"/>
      <c r="K138" s="3"/>
      <c r="L138" s="3"/>
      <c r="M138" s="3"/>
    </row>
    <row r="139" spans="1:13" ht="65.25" customHeight="1" x14ac:dyDescent="0.25">
      <c r="A139" s="116" t="s">
        <v>641</v>
      </c>
      <c r="B139" s="123"/>
      <c r="C139" s="116" t="s">
        <v>105</v>
      </c>
      <c r="D139" s="107" t="s">
        <v>1630</v>
      </c>
      <c r="E139" s="107" t="s">
        <v>289</v>
      </c>
      <c r="F139" s="107" t="s">
        <v>85</v>
      </c>
      <c r="G139" s="111">
        <v>280</v>
      </c>
      <c r="H139" s="111">
        <v>280</v>
      </c>
      <c r="I139" s="255" t="s">
        <v>106</v>
      </c>
      <c r="J139" s="187"/>
      <c r="K139" s="3"/>
      <c r="L139" s="3"/>
      <c r="M139" s="3"/>
    </row>
    <row r="140" spans="1:13" ht="60" x14ac:dyDescent="0.25">
      <c r="A140" s="117"/>
      <c r="B140" s="124"/>
      <c r="C140" s="117"/>
      <c r="D140" s="107" t="s">
        <v>643</v>
      </c>
      <c r="E140" s="107" t="s">
        <v>17</v>
      </c>
      <c r="F140" s="107" t="s">
        <v>6</v>
      </c>
      <c r="G140" s="110">
        <v>16156.2</v>
      </c>
      <c r="H140" s="110">
        <v>16766.7</v>
      </c>
      <c r="I140" s="80">
        <v>16638.400000000001</v>
      </c>
      <c r="J140" s="187"/>
      <c r="K140" s="3"/>
      <c r="L140" s="3"/>
      <c r="M140" s="3"/>
    </row>
    <row r="141" spans="1:13" ht="33.75" customHeight="1" x14ac:dyDescent="0.25">
      <c r="A141" s="144" t="s">
        <v>636</v>
      </c>
      <c r="B141" s="145"/>
      <c r="C141" s="145"/>
      <c r="D141" s="147"/>
      <c r="E141" s="128" t="s">
        <v>17</v>
      </c>
      <c r="F141" s="128" t="s">
        <v>6</v>
      </c>
      <c r="G141" s="33">
        <f>+G134+G136+G138+G140</f>
        <v>39413.800000000003</v>
      </c>
      <c r="H141" s="61">
        <f>+H136+H138+H140+H134</f>
        <v>40075</v>
      </c>
      <c r="I141" s="79">
        <f>+I134+I136+I138+I140</f>
        <v>40589.300000000003</v>
      </c>
      <c r="J141" s="187"/>
      <c r="K141" s="3"/>
      <c r="L141" s="3"/>
      <c r="M141" s="3"/>
    </row>
    <row r="142" spans="1:13" ht="39" customHeight="1" x14ac:dyDescent="0.25">
      <c r="A142" s="144" t="s">
        <v>637</v>
      </c>
      <c r="B142" s="145"/>
      <c r="C142" s="145"/>
      <c r="D142" s="147"/>
      <c r="E142" s="129"/>
      <c r="F142" s="129"/>
      <c r="G142" s="33">
        <f>+G134+G136+G138+G140</f>
        <v>39413.800000000003</v>
      </c>
      <c r="H142" s="33">
        <f>+H134+H136+H138+H140</f>
        <v>40075</v>
      </c>
      <c r="I142" s="79">
        <f>+I141</f>
        <v>40589.300000000003</v>
      </c>
      <c r="J142" s="187"/>
      <c r="K142" s="3"/>
      <c r="L142" s="3"/>
      <c r="M142" s="3"/>
    </row>
    <row r="143" spans="1:13" ht="15.75" x14ac:dyDescent="0.25">
      <c r="A143" s="259" t="s">
        <v>133</v>
      </c>
      <c r="B143" s="259"/>
      <c r="C143" s="259"/>
      <c r="D143" s="259"/>
      <c r="E143" s="259"/>
      <c r="F143" s="259"/>
      <c r="G143" s="259"/>
      <c r="H143" s="259"/>
      <c r="I143" s="259"/>
      <c r="J143" s="187"/>
      <c r="K143" s="3"/>
      <c r="L143" s="3"/>
      <c r="M143" s="3"/>
    </row>
    <row r="144" spans="1:13" ht="63.75" customHeight="1" x14ac:dyDescent="0.25">
      <c r="A144" s="116" t="s">
        <v>649</v>
      </c>
      <c r="B144" s="122" t="s">
        <v>686</v>
      </c>
      <c r="C144" s="116" t="s">
        <v>108</v>
      </c>
      <c r="D144" s="5" t="s">
        <v>1631</v>
      </c>
      <c r="E144" s="107" t="s">
        <v>143</v>
      </c>
      <c r="F144" s="107" t="s">
        <v>85</v>
      </c>
      <c r="G144" s="111">
        <v>24</v>
      </c>
      <c r="H144" s="111">
        <v>33</v>
      </c>
      <c r="I144" s="77">
        <f>H144</f>
        <v>33</v>
      </c>
      <c r="J144" s="187"/>
      <c r="K144" s="3"/>
      <c r="L144" s="3"/>
      <c r="M144" s="3"/>
    </row>
    <row r="145" spans="1:13" ht="46.5" customHeight="1" x14ac:dyDescent="0.25">
      <c r="A145" s="118"/>
      <c r="B145" s="123"/>
      <c r="C145" s="118"/>
      <c r="D145" s="107" t="s">
        <v>648</v>
      </c>
      <c r="E145" s="116" t="s">
        <v>16</v>
      </c>
      <c r="F145" s="116" t="s">
        <v>6</v>
      </c>
      <c r="G145" s="51">
        <v>2268.8000000000002</v>
      </c>
      <c r="H145" s="51">
        <v>2277.8000000000002</v>
      </c>
      <c r="I145" s="78">
        <v>2277.8000000000002</v>
      </c>
      <c r="J145" s="187"/>
      <c r="K145" s="3"/>
      <c r="L145" s="3"/>
      <c r="M145" s="3"/>
    </row>
    <row r="146" spans="1:13" ht="19.5" customHeight="1" x14ac:dyDescent="0.25">
      <c r="A146" s="117"/>
      <c r="B146" s="123"/>
      <c r="C146" s="117"/>
      <c r="D146" s="107" t="s">
        <v>110</v>
      </c>
      <c r="E146" s="117"/>
      <c r="F146" s="117"/>
      <c r="G146" s="20">
        <v>4581.1000000000004</v>
      </c>
      <c r="H146" s="20">
        <v>4182.2</v>
      </c>
      <c r="I146" s="76">
        <f>H146</f>
        <v>4182.2</v>
      </c>
      <c r="J146" s="187"/>
      <c r="K146" s="3"/>
      <c r="L146" s="3"/>
      <c r="M146" s="3"/>
    </row>
    <row r="147" spans="1:13" ht="60.75" customHeight="1" x14ac:dyDescent="0.25">
      <c r="A147" s="116" t="s">
        <v>650</v>
      </c>
      <c r="B147" s="123"/>
      <c r="C147" s="116" t="s">
        <v>111</v>
      </c>
      <c r="D147" s="5" t="s">
        <v>1632</v>
      </c>
      <c r="E147" s="107" t="s">
        <v>140</v>
      </c>
      <c r="F147" s="107" t="s">
        <v>85</v>
      </c>
      <c r="G147" s="19">
        <v>13276</v>
      </c>
      <c r="H147" s="19">
        <v>13125</v>
      </c>
      <c r="I147" s="73">
        <f>H147</f>
        <v>13125</v>
      </c>
      <c r="J147" s="187"/>
      <c r="K147" s="3"/>
      <c r="L147" s="3"/>
      <c r="M147" s="3"/>
    </row>
    <row r="148" spans="1:13" ht="60" x14ac:dyDescent="0.25">
      <c r="A148" s="117"/>
      <c r="B148" s="123"/>
      <c r="C148" s="117"/>
      <c r="D148" s="107" t="s">
        <v>645</v>
      </c>
      <c r="E148" s="107" t="s">
        <v>16</v>
      </c>
      <c r="F148" s="107" t="s">
        <v>6</v>
      </c>
      <c r="G148" s="20">
        <v>5121.2</v>
      </c>
      <c r="H148" s="20">
        <f>4525.4</f>
        <v>4525.3999999999996</v>
      </c>
      <c r="I148" s="76">
        <v>5764.18</v>
      </c>
      <c r="J148" s="187"/>
      <c r="K148" s="3"/>
      <c r="L148" s="3"/>
      <c r="M148" s="3"/>
    </row>
    <row r="149" spans="1:13" ht="64.5" customHeight="1" x14ac:dyDescent="0.25">
      <c r="A149" s="116" t="s">
        <v>651</v>
      </c>
      <c r="B149" s="123"/>
      <c r="C149" s="116" t="s">
        <v>112</v>
      </c>
      <c r="D149" s="5" t="s">
        <v>1633</v>
      </c>
      <c r="E149" s="107" t="s">
        <v>25</v>
      </c>
      <c r="F149" s="107" t="s">
        <v>85</v>
      </c>
      <c r="G149" s="19">
        <v>187310</v>
      </c>
      <c r="H149" s="19">
        <v>170629</v>
      </c>
      <c r="I149" s="73">
        <f>H149</f>
        <v>170629</v>
      </c>
      <c r="J149" s="187"/>
      <c r="K149" s="3"/>
      <c r="L149" s="3"/>
      <c r="M149" s="3"/>
    </row>
    <row r="150" spans="1:13" ht="60" x14ac:dyDescent="0.25">
      <c r="A150" s="117"/>
      <c r="B150" s="123"/>
      <c r="C150" s="117"/>
      <c r="D150" s="107" t="s">
        <v>647</v>
      </c>
      <c r="E150" s="107" t="s">
        <v>16</v>
      </c>
      <c r="F150" s="107" t="s">
        <v>6</v>
      </c>
      <c r="G150" s="20">
        <v>64987</v>
      </c>
      <c r="H150" s="20">
        <f>63934.7</f>
        <v>63934.7</v>
      </c>
      <c r="I150" s="76">
        <v>71470.240000000005</v>
      </c>
      <c r="J150" s="187"/>
      <c r="K150" s="3"/>
      <c r="L150" s="3"/>
      <c r="M150" s="3"/>
    </row>
    <row r="151" spans="1:13" ht="62.25" customHeight="1" x14ac:dyDescent="0.25">
      <c r="A151" s="116" t="s">
        <v>652</v>
      </c>
      <c r="B151" s="123"/>
      <c r="C151" s="116" t="s">
        <v>113</v>
      </c>
      <c r="D151" s="5" t="s">
        <v>1634</v>
      </c>
      <c r="E151" s="107" t="s">
        <v>141</v>
      </c>
      <c r="F151" s="107" t="s">
        <v>85</v>
      </c>
      <c r="G151" s="19">
        <v>36</v>
      </c>
      <c r="H151" s="19">
        <v>36</v>
      </c>
      <c r="I151" s="73">
        <v>36</v>
      </c>
      <c r="J151" s="187"/>
      <c r="K151" s="3"/>
      <c r="L151" s="3"/>
      <c r="M151" s="3"/>
    </row>
    <row r="152" spans="1:13" ht="60" x14ac:dyDescent="0.25">
      <c r="A152" s="117"/>
      <c r="B152" s="123"/>
      <c r="C152" s="117"/>
      <c r="D152" s="107" t="s">
        <v>646</v>
      </c>
      <c r="E152" s="107" t="s">
        <v>16</v>
      </c>
      <c r="F152" s="107" t="s">
        <v>6</v>
      </c>
      <c r="G152" s="20">
        <v>20154.2</v>
      </c>
      <c r="H152" s="20">
        <v>20721.8</v>
      </c>
      <c r="I152" s="76">
        <v>20876.509999999998</v>
      </c>
      <c r="J152" s="187"/>
      <c r="K152" s="3"/>
      <c r="L152" s="3"/>
      <c r="M152" s="3"/>
    </row>
    <row r="153" spans="1:13" ht="65.25" customHeight="1" x14ac:dyDescent="0.25">
      <c r="A153" s="116" t="s">
        <v>653</v>
      </c>
      <c r="B153" s="123"/>
      <c r="C153" s="116" t="s">
        <v>114</v>
      </c>
      <c r="D153" s="5" t="s">
        <v>1635</v>
      </c>
      <c r="E153" s="107" t="s">
        <v>142</v>
      </c>
      <c r="F153" s="107" t="s">
        <v>85</v>
      </c>
      <c r="G153" s="111">
        <v>17</v>
      </c>
      <c r="H153" s="111">
        <v>22</v>
      </c>
      <c r="I153" s="77">
        <f>H153</f>
        <v>22</v>
      </c>
      <c r="J153" s="187"/>
      <c r="K153" s="3"/>
      <c r="L153" s="3"/>
      <c r="M153" s="3"/>
    </row>
    <row r="154" spans="1:13" ht="60" x14ac:dyDescent="0.25">
      <c r="A154" s="117"/>
      <c r="B154" s="123"/>
      <c r="C154" s="117"/>
      <c r="D154" s="107" t="s">
        <v>646</v>
      </c>
      <c r="E154" s="107" t="s">
        <v>16</v>
      </c>
      <c r="F154" s="107" t="s">
        <v>6</v>
      </c>
      <c r="G154" s="20">
        <v>5015.8999999999996</v>
      </c>
      <c r="H154" s="20">
        <f>5459+404</f>
        <v>5863</v>
      </c>
      <c r="I154" s="76">
        <f>H154</f>
        <v>5863</v>
      </c>
      <c r="J154" s="187"/>
      <c r="K154" s="3"/>
      <c r="L154" s="3"/>
      <c r="M154" s="3"/>
    </row>
    <row r="155" spans="1:13" ht="57" customHeight="1" x14ac:dyDescent="0.25">
      <c r="A155" s="130" t="s">
        <v>654</v>
      </c>
      <c r="B155" s="123"/>
      <c r="C155" s="130" t="s">
        <v>22</v>
      </c>
      <c r="D155" s="5" t="s">
        <v>1636</v>
      </c>
      <c r="E155" s="107" t="s">
        <v>36</v>
      </c>
      <c r="F155" s="107" t="s">
        <v>85</v>
      </c>
      <c r="G155" s="111">
        <v>166</v>
      </c>
      <c r="H155" s="111">
        <v>100</v>
      </c>
      <c r="I155" s="77">
        <f>H155</f>
        <v>100</v>
      </c>
      <c r="J155" s="187"/>
      <c r="K155" s="3"/>
      <c r="L155" s="3"/>
      <c r="M155" s="3"/>
    </row>
    <row r="156" spans="1:13" ht="45.75" customHeight="1" x14ac:dyDescent="0.25">
      <c r="A156" s="130"/>
      <c r="B156" s="123"/>
      <c r="C156" s="130"/>
      <c r="D156" s="107" t="s">
        <v>655</v>
      </c>
      <c r="E156" s="116" t="s">
        <v>16</v>
      </c>
      <c r="F156" s="116" t="s">
        <v>6</v>
      </c>
      <c r="G156" s="20">
        <v>6954.9</v>
      </c>
      <c r="H156" s="20">
        <v>5279.6</v>
      </c>
      <c r="I156" s="76">
        <v>5279.6</v>
      </c>
      <c r="J156" s="187"/>
      <c r="K156" s="3"/>
      <c r="L156" s="3"/>
      <c r="M156" s="3"/>
    </row>
    <row r="157" spans="1:13" x14ac:dyDescent="0.25">
      <c r="A157" s="130"/>
      <c r="B157" s="123"/>
      <c r="C157" s="130"/>
      <c r="D157" s="107" t="s">
        <v>115</v>
      </c>
      <c r="E157" s="118"/>
      <c r="F157" s="118"/>
      <c r="G157" s="20">
        <v>2106.1</v>
      </c>
      <c r="H157" s="20">
        <v>1700.4</v>
      </c>
      <c r="I157" s="76">
        <f>H157</f>
        <v>1700.4</v>
      </c>
      <c r="J157" s="187"/>
      <c r="K157" s="3"/>
      <c r="L157" s="3"/>
      <c r="M157" s="3"/>
    </row>
    <row r="158" spans="1:13" x14ac:dyDescent="0.25">
      <c r="A158" s="130"/>
      <c r="B158" s="123"/>
      <c r="C158" s="130"/>
      <c r="D158" s="107" t="s">
        <v>116</v>
      </c>
      <c r="E158" s="118"/>
      <c r="F158" s="118"/>
      <c r="G158" s="20">
        <v>3795.3</v>
      </c>
      <c r="H158" s="20">
        <v>1264.9000000000001</v>
      </c>
      <c r="I158" s="76">
        <f>H158</f>
        <v>1264.9000000000001</v>
      </c>
      <c r="J158" s="187"/>
      <c r="K158" s="3"/>
      <c r="L158" s="3"/>
      <c r="M158" s="3"/>
    </row>
    <row r="159" spans="1:13" x14ac:dyDescent="0.25">
      <c r="A159" s="130"/>
      <c r="B159" s="123"/>
      <c r="C159" s="130"/>
      <c r="D159" s="107" t="s">
        <v>110</v>
      </c>
      <c r="E159" s="117"/>
      <c r="F159" s="117"/>
      <c r="G159" s="20">
        <v>8193.1</v>
      </c>
      <c r="H159" s="20">
        <v>4936.6000000000004</v>
      </c>
      <c r="I159" s="76">
        <v>6936.6</v>
      </c>
      <c r="J159" s="187"/>
      <c r="K159" s="3"/>
      <c r="L159" s="3"/>
      <c r="M159" s="3"/>
    </row>
    <row r="160" spans="1:13" ht="60" customHeight="1" x14ac:dyDescent="0.25">
      <c r="A160" s="116" t="s">
        <v>657</v>
      </c>
      <c r="B160" s="123"/>
      <c r="C160" s="162" t="s">
        <v>117</v>
      </c>
      <c r="D160" s="5" t="s">
        <v>1637</v>
      </c>
      <c r="E160" s="5" t="s">
        <v>231</v>
      </c>
      <c r="F160" s="107" t="s">
        <v>85</v>
      </c>
      <c r="G160" s="111">
        <v>11</v>
      </c>
      <c r="H160" s="111">
        <v>11</v>
      </c>
      <c r="I160" s="77">
        <f>H160</f>
        <v>11</v>
      </c>
      <c r="J160" s="187"/>
      <c r="K160" s="3"/>
      <c r="L160" s="3"/>
      <c r="M160" s="3"/>
    </row>
    <row r="161" spans="1:13" ht="60" x14ac:dyDescent="0.25">
      <c r="A161" s="117"/>
      <c r="B161" s="123"/>
      <c r="C161" s="163"/>
      <c r="D161" s="107" t="s">
        <v>656</v>
      </c>
      <c r="E161" s="107" t="s">
        <v>16</v>
      </c>
      <c r="F161" s="107" t="s">
        <v>6</v>
      </c>
      <c r="G161" s="20">
        <v>6886</v>
      </c>
      <c r="H161" s="20">
        <v>8553.1</v>
      </c>
      <c r="I161" s="76">
        <f>H161</f>
        <v>8553.1</v>
      </c>
      <c r="J161" s="187"/>
      <c r="K161" s="3"/>
      <c r="L161" s="3"/>
      <c r="M161" s="3"/>
    </row>
    <row r="162" spans="1:13" ht="58.5" customHeight="1" x14ac:dyDescent="0.25">
      <c r="A162" s="116" t="s">
        <v>658</v>
      </c>
      <c r="B162" s="123"/>
      <c r="C162" s="116" t="s">
        <v>118</v>
      </c>
      <c r="D162" s="5" t="s">
        <v>1638</v>
      </c>
      <c r="E162" s="107" t="s">
        <v>1543</v>
      </c>
      <c r="F162" s="107" t="s">
        <v>103</v>
      </c>
      <c r="G162" s="19">
        <v>12000</v>
      </c>
      <c r="H162" s="19">
        <v>12000</v>
      </c>
      <c r="I162" s="73">
        <f>H162</f>
        <v>12000</v>
      </c>
      <c r="J162" s="187"/>
      <c r="K162" s="3"/>
      <c r="L162" s="3"/>
      <c r="M162" s="3"/>
    </row>
    <row r="163" spans="1:13" ht="60" x14ac:dyDescent="0.25">
      <c r="A163" s="117"/>
      <c r="B163" s="123"/>
      <c r="C163" s="117"/>
      <c r="D163" s="107" t="s">
        <v>660</v>
      </c>
      <c r="E163" s="107" t="s">
        <v>16</v>
      </c>
      <c r="F163" s="107" t="s">
        <v>6</v>
      </c>
      <c r="G163" s="20">
        <v>3960</v>
      </c>
      <c r="H163" s="20">
        <v>3936.3</v>
      </c>
      <c r="I163" s="76">
        <f>H163</f>
        <v>3936.3</v>
      </c>
      <c r="J163" s="187"/>
      <c r="K163" s="3"/>
      <c r="L163" s="3"/>
      <c r="M163" s="3"/>
    </row>
    <row r="164" spans="1:13" ht="59.25" customHeight="1" x14ac:dyDescent="0.25">
      <c r="A164" s="116" t="s">
        <v>659</v>
      </c>
      <c r="B164" s="123"/>
      <c r="C164" s="116" t="s">
        <v>34</v>
      </c>
      <c r="D164" s="5" t="s">
        <v>1639</v>
      </c>
      <c r="E164" s="107" t="s">
        <v>33</v>
      </c>
      <c r="F164" s="107" t="s">
        <v>85</v>
      </c>
      <c r="G164" s="19">
        <v>51841</v>
      </c>
      <c r="H164" s="19">
        <v>18128</v>
      </c>
      <c r="I164" s="73">
        <f>H164</f>
        <v>18128</v>
      </c>
      <c r="J164" s="187"/>
      <c r="K164" s="3"/>
      <c r="L164" s="3"/>
      <c r="M164" s="3"/>
    </row>
    <row r="165" spans="1:13" ht="43.5" customHeight="1" x14ac:dyDescent="0.25">
      <c r="A165" s="118"/>
      <c r="B165" s="123"/>
      <c r="C165" s="118"/>
      <c r="D165" s="107" t="s">
        <v>661</v>
      </c>
      <c r="E165" s="116" t="s">
        <v>16</v>
      </c>
      <c r="F165" s="116" t="s">
        <v>6</v>
      </c>
      <c r="G165" s="20">
        <v>12030.5</v>
      </c>
      <c r="H165" s="20">
        <v>10890.5</v>
      </c>
      <c r="I165" s="76">
        <v>10890.35</v>
      </c>
      <c r="J165" s="187"/>
      <c r="K165" s="3"/>
      <c r="L165" s="3"/>
      <c r="M165" s="3"/>
    </row>
    <row r="166" spans="1:13" x14ac:dyDescent="0.25">
      <c r="A166" s="117"/>
      <c r="B166" s="123"/>
      <c r="C166" s="117"/>
      <c r="D166" s="107" t="s">
        <v>116</v>
      </c>
      <c r="E166" s="117"/>
      <c r="F166" s="117"/>
      <c r="G166" s="20">
        <v>33789</v>
      </c>
      <c r="H166" s="20">
        <v>32101.4</v>
      </c>
      <c r="I166" s="76">
        <v>32101.4</v>
      </c>
      <c r="J166" s="187"/>
      <c r="K166" s="3"/>
      <c r="L166" s="3"/>
      <c r="M166" s="3"/>
    </row>
    <row r="167" spans="1:13" ht="60" customHeight="1" x14ac:dyDescent="0.25">
      <c r="A167" s="116" t="s">
        <v>664</v>
      </c>
      <c r="B167" s="123"/>
      <c r="C167" s="116" t="s">
        <v>119</v>
      </c>
      <c r="D167" s="5" t="s">
        <v>1640</v>
      </c>
      <c r="E167" s="107" t="s">
        <v>138</v>
      </c>
      <c r="F167" s="27" t="s">
        <v>145</v>
      </c>
      <c r="G167" s="19">
        <v>0</v>
      </c>
      <c r="H167" s="19">
        <v>0</v>
      </c>
      <c r="I167" s="73">
        <v>1367</v>
      </c>
      <c r="J167" s="187"/>
      <c r="K167" s="3"/>
      <c r="L167" s="3"/>
      <c r="M167" s="3"/>
    </row>
    <row r="168" spans="1:13" ht="60" x14ac:dyDescent="0.25">
      <c r="A168" s="117"/>
      <c r="B168" s="123"/>
      <c r="C168" s="117"/>
      <c r="D168" s="107" t="s">
        <v>662</v>
      </c>
      <c r="E168" s="107" t="s">
        <v>16</v>
      </c>
      <c r="F168" s="107" t="s">
        <v>6</v>
      </c>
      <c r="G168" s="20">
        <v>0</v>
      </c>
      <c r="H168" s="20">
        <v>0</v>
      </c>
      <c r="I168" s="76">
        <v>15992</v>
      </c>
      <c r="J168" s="187"/>
      <c r="K168" s="3"/>
      <c r="L168" s="3"/>
      <c r="M168" s="3"/>
    </row>
    <row r="169" spans="1:13" ht="64.5" customHeight="1" x14ac:dyDescent="0.25">
      <c r="A169" s="116" t="s">
        <v>665</v>
      </c>
      <c r="B169" s="123"/>
      <c r="C169" s="116" t="s">
        <v>146</v>
      </c>
      <c r="D169" s="5" t="s">
        <v>1641</v>
      </c>
      <c r="E169" s="107" t="s">
        <v>33</v>
      </c>
      <c r="F169" s="5" t="s">
        <v>85</v>
      </c>
      <c r="G169" s="19">
        <v>44306</v>
      </c>
      <c r="H169" s="19">
        <v>22806</v>
      </c>
      <c r="I169" s="73">
        <f t="shared" ref="I169:I174" si="0">H169</f>
        <v>22806</v>
      </c>
      <c r="J169" s="187"/>
      <c r="K169" s="3"/>
      <c r="L169" s="3"/>
      <c r="M169" s="3"/>
    </row>
    <row r="170" spans="1:13" ht="45" x14ac:dyDescent="0.25">
      <c r="A170" s="118"/>
      <c r="B170" s="123"/>
      <c r="C170" s="118"/>
      <c r="D170" s="11" t="s">
        <v>663</v>
      </c>
      <c r="E170" s="116" t="s">
        <v>16</v>
      </c>
      <c r="F170" s="116" t="s">
        <v>6</v>
      </c>
      <c r="G170" s="20">
        <v>27212.3</v>
      </c>
      <c r="H170" s="20">
        <v>24776.7</v>
      </c>
      <c r="I170" s="76">
        <f t="shared" si="0"/>
        <v>24776.7</v>
      </c>
      <c r="J170" s="187"/>
      <c r="K170" s="3"/>
      <c r="L170" s="3"/>
      <c r="M170" s="3"/>
    </row>
    <row r="171" spans="1:13" x14ac:dyDescent="0.25">
      <c r="A171" s="117"/>
      <c r="B171" s="123"/>
      <c r="C171" s="117"/>
      <c r="D171" s="107" t="s">
        <v>116</v>
      </c>
      <c r="E171" s="117"/>
      <c r="F171" s="117"/>
      <c r="G171" s="20">
        <v>31845.4</v>
      </c>
      <c r="H171" s="20">
        <v>21849.1</v>
      </c>
      <c r="I171" s="76">
        <f t="shared" si="0"/>
        <v>21849.1</v>
      </c>
      <c r="J171" s="187"/>
      <c r="K171" s="3"/>
      <c r="L171" s="3"/>
      <c r="M171" s="3"/>
    </row>
    <row r="172" spans="1:13" ht="60" customHeight="1" x14ac:dyDescent="0.25">
      <c r="A172" s="116" t="s">
        <v>666</v>
      </c>
      <c r="B172" s="123"/>
      <c r="C172" s="162" t="s">
        <v>120</v>
      </c>
      <c r="D172" s="5" t="s">
        <v>1642</v>
      </c>
      <c r="E172" s="5" t="s">
        <v>232</v>
      </c>
      <c r="F172" s="5" t="s">
        <v>80</v>
      </c>
      <c r="G172" s="19">
        <v>198112</v>
      </c>
      <c r="H172" s="19">
        <v>87900</v>
      </c>
      <c r="I172" s="73">
        <f t="shared" si="0"/>
        <v>87900</v>
      </c>
      <c r="J172" s="187"/>
      <c r="K172" s="3"/>
      <c r="L172" s="3"/>
      <c r="M172" s="3"/>
    </row>
    <row r="173" spans="1:13" ht="60" x14ac:dyDescent="0.25">
      <c r="A173" s="117"/>
      <c r="B173" s="123"/>
      <c r="C173" s="163"/>
      <c r="D173" s="107" t="s">
        <v>668</v>
      </c>
      <c r="E173" s="107" t="s">
        <v>16</v>
      </c>
      <c r="F173" s="107" t="s">
        <v>6</v>
      </c>
      <c r="G173" s="20">
        <v>34173</v>
      </c>
      <c r="H173" s="20">
        <v>35371.300000000003</v>
      </c>
      <c r="I173" s="76">
        <f t="shared" si="0"/>
        <v>35371.300000000003</v>
      </c>
      <c r="J173" s="187"/>
      <c r="K173" s="3"/>
      <c r="L173" s="3"/>
      <c r="M173" s="3"/>
    </row>
    <row r="174" spans="1:13" ht="61.5" customHeight="1" x14ac:dyDescent="0.25">
      <c r="A174" s="116" t="s">
        <v>667</v>
      </c>
      <c r="B174" s="123"/>
      <c r="C174" s="116" t="s">
        <v>121</v>
      </c>
      <c r="D174" s="5" t="s">
        <v>1643</v>
      </c>
      <c r="E174" s="107" t="s">
        <v>147</v>
      </c>
      <c r="F174" s="107" t="s">
        <v>85</v>
      </c>
      <c r="G174" s="111">
        <v>864</v>
      </c>
      <c r="H174" s="111">
        <v>984</v>
      </c>
      <c r="I174" s="77">
        <f t="shared" si="0"/>
        <v>984</v>
      </c>
      <c r="J174" s="187"/>
      <c r="K174" s="3"/>
      <c r="L174" s="3"/>
      <c r="M174" s="3"/>
    </row>
    <row r="175" spans="1:13" ht="45.75" customHeight="1" x14ac:dyDescent="0.25">
      <c r="A175" s="118"/>
      <c r="B175" s="123"/>
      <c r="C175" s="118"/>
      <c r="D175" s="107" t="s">
        <v>669</v>
      </c>
      <c r="E175" s="116" t="s">
        <v>16</v>
      </c>
      <c r="F175" s="116" t="s">
        <v>6</v>
      </c>
      <c r="G175" s="20">
        <v>1650.8</v>
      </c>
      <c r="H175" s="20">
        <v>1831.6</v>
      </c>
      <c r="I175" s="76">
        <v>1831.6</v>
      </c>
      <c r="J175" s="187"/>
      <c r="K175" s="3"/>
      <c r="L175" s="3"/>
      <c r="M175" s="3"/>
    </row>
    <row r="176" spans="1:13" x14ac:dyDescent="0.25">
      <c r="A176" s="118"/>
      <c r="B176" s="123"/>
      <c r="C176" s="118"/>
      <c r="D176" s="107" t="s">
        <v>109</v>
      </c>
      <c r="E176" s="118"/>
      <c r="F176" s="118"/>
      <c r="G176" s="20">
        <v>1396.6000000000001</v>
      </c>
      <c r="H176" s="20">
        <v>1585</v>
      </c>
      <c r="I176" s="76">
        <v>1584.9699999999998</v>
      </c>
      <c r="J176" s="187"/>
      <c r="K176" s="3"/>
      <c r="L176" s="3"/>
      <c r="M176" s="3"/>
    </row>
    <row r="177" spans="1:13" x14ac:dyDescent="0.25">
      <c r="A177" s="117"/>
      <c r="B177" s="123"/>
      <c r="C177" s="117"/>
      <c r="D177" s="107" t="s">
        <v>110</v>
      </c>
      <c r="E177" s="117"/>
      <c r="F177" s="117"/>
      <c r="G177" s="20">
        <v>3014.6</v>
      </c>
      <c r="H177" s="20">
        <v>5929</v>
      </c>
      <c r="I177" s="76">
        <v>5929.2199999999993</v>
      </c>
      <c r="J177" s="187"/>
      <c r="K177" s="3"/>
      <c r="L177" s="3"/>
      <c r="M177" s="3"/>
    </row>
    <row r="178" spans="1:13" ht="62.25" customHeight="1" x14ac:dyDescent="0.25">
      <c r="A178" s="116" t="s">
        <v>671</v>
      </c>
      <c r="B178" s="123"/>
      <c r="C178" s="162" t="s">
        <v>122</v>
      </c>
      <c r="D178" s="5" t="s">
        <v>1644</v>
      </c>
      <c r="E178" s="5" t="s">
        <v>233</v>
      </c>
      <c r="F178" s="107" t="s">
        <v>80</v>
      </c>
      <c r="G178" s="19">
        <v>161000</v>
      </c>
      <c r="H178" s="19">
        <v>84644</v>
      </c>
      <c r="I178" s="73">
        <f>H178</f>
        <v>84644</v>
      </c>
      <c r="J178" s="187"/>
      <c r="K178" s="3"/>
      <c r="L178" s="3"/>
      <c r="M178" s="3"/>
    </row>
    <row r="179" spans="1:13" ht="50.25" customHeight="1" x14ac:dyDescent="0.25">
      <c r="A179" s="118"/>
      <c r="B179" s="123"/>
      <c r="C179" s="148"/>
      <c r="D179" s="107" t="s">
        <v>670</v>
      </c>
      <c r="E179" s="116" t="s">
        <v>16</v>
      </c>
      <c r="F179" s="116" t="s">
        <v>6</v>
      </c>
      <c r="G179" s="20">
        <v>29429.9</v>
      </c>
      <c r="H179" s="20">
        <v>27637.4</v>
      </c>
      <c r="I179" s="76">
        <v>27637.4</v>
      </c>
      <c r="J179" s="187"/>
      <c r="K179" s="3"/>
      <c r="L179" s="3"/>
      <c r="M179" s="3"/>
    </row>
    <row r="180" spans="1:13" x14ac:dyDescent="0.25">
      <c r="A180" s="117"/>
      <c r="B180" s="123"/>
      <c r="C180" s="163"/>
      <c r="D180" s="107" t="s">
        <v>115</v>
      </c>
      <c r="E180" s="117"/>
      <c r="F180" s="117"/>
      <c r="G180" s="20">
        <v>7204</v>
      </c>
      <c r="H180" s="20">
        <v>7491.5</v>
      </c>
      <c r="I180" s="76">
        <v>7491.54</v>
      </c>
      <c r="J180" s="187"/>
      <c r="K180" s="3"/>
      <c r="L180" s="3"/>
      <c r="M180" s="3"/>
    </row>
    <row r="181" spans="1:13" ht="63.75" customHeight="1" x14ac:dyDescent="0.25">
      <c r="A181" s="116" t="s">
        <v>673</v>
      </c>
      <c r="B181" s="123"/>
      <c r="C181" s="116" t="s">
        <v>123</v>
      </c>
      <c r="D181" s="5" t="s">
        <v>1645</v>
      </c>
      <c r="E181" s="107" t="s">
        <v>148</v>
      </c>
      <c r="F181" s="107" t="s">
        <v>149</v>
      </c>
      <c r="G181" s="19">
        <v>4094</v>
      </c>
      <c r="H181" s="19">
        <v>4094</v>
      </c>
      <c r="I181" s="73">
        <f>H181</f>
        <v>4094</v>
      </c>
      <c r="J181" s="187"/>
      <c r="K181" s="3"/>
      <c r="L181" s="3"/>
      <c r="M181" s="3"/>
    </row>
    <row r="182" spans="1:13" ht="60" x14ac:dyDescent="0.25">
      <c r="A182" s="117"/>
      <c r="B182" s="123"/>
      <c r="C182" s="117"/>
      <c r="D182" s="107" t="s">
        <v>676</v>
      </c>
      <c r="E182" s="107" t="s">
        <v>16</v>
      </c>
      <c r="F182" s="107" t="s">
        <v>6</v>
      </c>
      <c r="G182" s="20">
        <v>3534.4</v>
      </c>
      <c r="H182" s="20">
        <v>3534</v>
      </c>
      <c r="I182" s="76">
        <v>6112.59</v>
      </c>
      <c r="J182" s="187"/>
      <c r="K182" s="3"/>
      <c r="L182" s="3"/>
      <c r="M182" s="3"/>
    </row>
    <row r="183" spans="1:13" ht="108" customHeight="1" x14ac:dyDescent="0.25">
      <c r="A183" s="116" t="s">
        <v>674</v>
      </c>
      <c r="B183" s="123"/>
      <c r="C183" s="162" t="s">
        <v>124</v>
      </c>
      <c r="D183" s="5" t="s">
        <v>1646</v>
      </c>
      <c r="E183" s="260" t="s">
        <v>53</v>
      </c>
      <c r="F183" s="5" t="s">
        <v>54</v>
      </c>
      <c r="G183" s="19">
        <v>41521</v>
      </c>
      <c r="H183" s="19">
        <v>41521</v>
      </c>
      <c r="I183" s="73">
        <f>H183</f>
        <v>41521</v>
      </c>
      <c r="J183" s="187"/>
      <c r="K183" s="3"/>
      <c r="L183" s="3"/>
      <c r="M183" s="3"/>
    </row>
    <row r="184" spans="1:13" ht="60" x14ac:dyDescent="0.25">
      <c r="A184" s="117"/>
      <c r="B184" s="123"/>
      <c r="C184" s="163"/>
      <c r="D184" s="107" t="s">
        <v>672</v>
      </c>
      <c r="E184" s="107" t="s">
        <v>16</v>
      </c>
      <c r="F184" s="107" t="s">
        <v>6</v>
      </c>
      <c r="G184" s="20">
        <v>10467</v>
      </c>
      <c r="H184" s="20">
        <v>12652.5</v>
      </c>
      <c r="I184" s="76">
        <v>12652.53</v>
      </c>
      <c r="J184" s="187"/>
      <c r="K184" s="3"/>
      <c r="L184" s="3"/>
      <c r="M184" s="3"/>
    </row>
    <row r="185" spans="1:13" ht="216.75" customHeight="1" x14ac:dyDescent="0.25">
      <c r="A185" s="116" t="s">
        <v>675</v>
      </c>
      <c r="B185" s="123"/>
      <c r="C185" s="162" t="s">
        <v>125</v>
      </c>
      <c r="D185" s="5" t="s">
        <v>1647</v>
      </c>
      <c r="E185" s="260" t="s">
        <v>224</v>
      </c>
      <c r="F185" s="107" t="s">
        <v>80</v>
      </c>
      <c r="G185" s="111">
        <v>732</v>
      </c>
      <c r="H185" s="111">
        <v>726</v>
      </c>
      <c r="I185" s="77">
        <f>H185</f>
        <v>726</v>
      </c>
      <c r="J185" s="187"/>
      <c r="K185" s="3"/>
      <c r="L185" s="3"/>
      <c r="M185" s="3"/>
    </row>
    <row r="186" spans="1:13" ht="60" x14ac:dyDescent="0.25">
      <c r="A186" s="117"/>
      <c r="B186" s="123"/>
      <c r="C186" s="163"/>
      <c r="D186" s="107" t="s">
        <v>672</v>
      </c>
      <c r="E186" s="107" t="s">
        <v>16</v>
      </c>
      <c r="F186" s="107" t="s">
        <v>6</v>
      </c>
      <c r="G186" s="20">
        <v>100879</v>
      </c>
      <c r="H186" s="20">
        <v>115799.8</v>
      </c>
      <c r="I186" s="76">
        <f>H186</f>
        <v>115799.8</v>
      </c>
      <c r="J186" s="187"/>
      <c r="K186" s="3"/>
      <c r="L186" s="3"/>
      <c r="M186" s="3"/>
    </row>
    <row r="187" spans="1:13" ht="62.25" customHeight="1" x14ac:dyDescent="0.25">
      <c r="A187" s="116" t="s">
        <v>678</v>
      </c>
      <c r="B187" s="123"/>
      <c r="C187" s="116" t="s">
        <v>126</v>
      </c>
      <c r="D187" s="5" t="s">
        <v>1648</v>
      </c>
      <c r="E187" s="107" t="s">
        <v>150</v>
      </c>
      <c r="F187" s="107" t="s">
        <v>103</v>
      </c>
      <c r="G187" s="19">
        <v>110791</v>
      </c>
      <c r="H187" s="19">
        <v>110791</v>
      </c>
      <c r="I187" s="73">
        <f>H187</f>
        <v>110791</v>
      </c>
      <c r="J187" s="187"/>
      <c r="K187" s="3"/>
      <c r="L187" s="3"/>
      <c r="M187" s="3"/>
    </row>
    <row r="188" spans="1:13" ht="60" x14ac:dyDescent="0.25">
      <c r="A188" s="117"/>
      <c r="B188" s="123"/>
      <c r="C188" s="117"/>
      <c r="D188" s="107" t="s">
        <v>646</v>
      </c>
      <c r="E188" s="107" t="s">
        <v>16</v>
      </c>
      <c r="F188" s="107" t="s">
        <v>6</v>
      </c>
      <c r="G188" s="20">
        <v>75744.899999999994</v>
      </c>
      <c r="H188" s="20">
        <v>94660.800000000003</v>
      </c>
      <c r="I188" s="76">
        <v>95635.69</v>
      </c>
      <c r="J188" s="187"/>
      <c r="K188" s="3"/>
      <c r="L188" s="3"/>
      <c r="M188" s="3"/>
    </row>
    <row r="189" spans="1:13" ht="79.5" customHeight="1" x14ac:dyDescent="0.25">
      <c r="A189" s="116" t="s">
        <v>679</v>
      </c>
      <c r="B189" s="123"/>
      <c r="C189" s="116" t="s">
        <v>26</v>
      </c>
      <c r="D189" s="5" t="s">
        <v>1649</v>
      </c>
      <c r="E189" s="107" t="s">
        <v>33</v>
      </c>
      <c r="F189" s="107" t="s">
        <v>85</v>
      </c>
      <c r="G189" s="111">
        <v>12</v>
      </c>
      <c r="H189" s="111">
        <v>10</v>
      </c>
      <c r="I189" s="77">
        <f>H189</f>
        <v>10</v>
      </c>
      <c r="J189" s="187"/>
      <c r="K189" s="3"/>
      <c r="L189" s="3"/>
      <c r="M189" s="3"/>
    </row>
    <row r="190" spans="1:13" ht="46.5" customHeight="1" x14ac:dyDescent="0.25">
      <c r="A190" s="118"/>
      <c r="B190" s="123"/>
      <c r="C190" s="118"/>
      <c r="D190" s="107" t="s">
        <v>677</v>
      </c>
      <c r="E190" s="116" t="s">
        <v>16</v>
      </c>
      <c r="F190" s="116" t="s">
        <v>6</v>
      </c>
      <c r="G190" s="20">
        <v>51264.5</v>
      </c>
      <c r="H190" s="20">
        <v>54122.8</v>
      </c>
      <c r="I190" s="76">
        <v>58050.8</v>
      </c>
      <c r="J190" s="187"/>
      <c r="K190" s="3"/>
      <c r="L190" s="3"/>
      <c r="M190" s="3"/>
    </row>
    <row r="191" spans="1:13" x14ac:dyDescent="0.25">
      <c r="A191" s="117"/>
      <c r="B191" s="123"/>
      <c r="C191" s="117"/>
      <c r="D191" s="107" t="s">
        <v>128</v>
      </c>
      <c r="E191" s="117"/>
      <c r="F191" s="117"/>
      <c r="G191" s="20">
        <v>68028.3</v>
      </c>
      <c r="H191" s="20">
        <v>78282.5</v>
      </c>
      <c r="I191" s="76">
        <v>93282.5</v>
      </c>
      <c r="J191" s="187"/>
      <c r="K191" s="3"/>
      <c r="L191" s="3"/>
      <c r="M191" s="3"/>
    </row>
    <row r="192" spans="1:13" ht="108.75" customHeight="1" x14ac:dyDescent="0.25">
      <c r="A192" s="116" t="s">
        <v>681</v>
      </c>
      <c r="B192" s="123"/>
      <c r="C192" s="162" t="s">
        <v>30</v>
      </c>
      <c r="D192" s="5" t="s">
        <v>1650</v>
      </c>
      <c r="E192" s="107" t="s">
        <v>151</v>
      </c>
      <c r="F192" s="107" t="s">
        <v>85</v>
      </c>
      <c r="G192" s="111">
        <v>11</v>
      </c>
      <c r="H192" s="111">
        <v>12</v>
      </c>
      <c r="I192" s="77">
        <f>H192</f>
        <v>12</v>
      </c>
      <c r="J192" s="187"/>
      <c r="K192" s="3"/>
      <c r="L192" s="3"/>
      <c r="M192" s="3"/>
    </row>
    <row r="193" spans="1:13" ht="50.25" customHeight="1" x14ac:dyDescent="0.25">
      <c r="A193" s="118"/>
      <c r="B193" s="123"/>
      <c r="C193" s="148"/>
      <c r="D193" s="107" t="s">
        <v>680</v>
      </c>
      <c r="E193" s="116" t="s">
        <v>16</v>
      </c>
      <c r="F193" s="116" t="s">
        <v>6</v>
      </c>
      <c r="G193" s="20">
        <v>11626.4</v>
      </c>
      <c r="H193" s="20">
        <v>13855.7</v>
      </c>
      <c r="I193" s="76">
        <v>23855</v>
      </c>
      <c r="J193" s="187"/>
      <c r="K193" s="3"/>
      <c r="L193" s="3"/>
      <c r="M193" s="3"/>
    </row>
    <row r="194" spans="1:13" x14ac:dyDescent="0.25">
      <c r="A194" s="117"/>
      <c r="B194" s="123"/>
      <c r="C194" s="163"/>
      <c r="D194" s="107" t="s">
        <v>116</v>
      </c>
      <c r="E194" s="117"/>
      <c r="F194" s="117"/>
      <c r="G194" s="20">
        <v>38489.300000000003</v>
      </c>
      <c r="H194" s="20">
        <v>54994.5</v>
      </c>
      <c r="I194" s="76">
        <v>67217.83</v>
      </c>
      <c r="J194" s="187"/>
      <c r="K194" s="3"/>
      <c r="L194" s="3"/>
      <c r="M194" s="3"/>
    </row>
    <row r="195" spans="1:13" ht="61.5" customHeight="1" x14ac:dyDescent="0.25">
      <c r="A195" s="116" t="s">
        <v>682</v>
      </c>
      <c r="B195" s="123"/>
      <c r="C195" s="116" t="s">
        <v>28</v>
      </c>
      <c r="D195" s="5" t="s">
        <v>1651</v>
      </c>
      <c r="E195" s="107" t="s">
        <v>29</v>
      </c>
      <c r="F195" s="107" t="s">
        <v>85</v>
      </c>
      <c r="G195" s="111">
        <v>118</v>
      </c>
      <c r="H195" s="111">
        <v>106</v>
      </c>
      <c r="I195" s="77">
        <f>H195</f>
        <v>106</v>
      </c>
      <c r="J195" s="187"/>
      <c r="K195" s="3"/>
      <c r="L195" s="3"/>
      <c r="M195" s="3"/>
    </row>
    <row r="196" spans="1:13" ht="49.5" customHeight="1" x14ac:dyDescent="0.25">
      <c r="A196" s="118"/>
      <c r="B196" s="123"/>
      <c r="C196" s="118"/>
      <c r="D196" s="107" t="s">
        <v>670</v>
      </c>
      <c r="E196" s="116" t="s">
        <v>16</v>
      </c>
      <c r="F196" s="116" t="s">
        <v>6</v>
      </c>
      <c r="G196" s="20">
        <v>7160.4</v>
      </c>
      <c r="H196" s="20">
        <v>8444.7000000000007</v>
      </c>
      <c r="I196" s="76">
        <v>8444.7000000000007</v>
      </c>
      <c r="J196" s="187"/>
      <c r="K196" s="3"/>
      <c r="L196" s="3"/>
      <c r="M196" s="3"/>
    </row>
    <row r="197" spans="1:13" x14ac:dyDescent="0.25">
      <c r="A197" s="117"/>
      <c r="B197" s="123"/>
      <c r="C197" s="117"/>
      <c r="D197" s="107" t="s">
        <v>115</v>
      </c>
      <c r="E197" s="117"/>
      <c r="F197" s="117"/>
      <c r="G197" s="20">
        <v>5308</v>
      </c>
      <c r="H197" s="20">
        <v>13218</v>
      </c>
      <c r="I197" s="76">
        <v>13995.8</v>
      </c>
      <c r="J197" s="187"/>
      <c r="K197" s="3"/>
      <c r="L197" s="3"/>
      <c r="M197" s="3"/>
    </row>
    <row r="198" spans="1:13" ht="63" customHeight="1" x14ac:dyDescent="0.25">
      <c r="A198" s="116" t="s">
        <v>683</v>
      </c>
      <c r="B198" s="123"/>
      <c r="C198" s="116" t="s">
        <v>131</v>
      </c>
      <c r="D198" s="5" t="s">
        <v>1652</v>
      </c>
      <c r="E198" s="107" t="s">
        <v>139</v>
      </c>
      <c r="F198" s="107" t="s">
        <v>85</v>
      </c>
      <c r="G198" s="19">
        <v>6686</v>
      </c>
      <c r="H198" s="19">
        <v>7469</v>
      </c>
      <c r="I198" s="73">
        <f>H198</f>
        <v>7469</v>
      </c>
      <c r="J198" s="187"/>
      <c r="K198" s="3"/>
      <c r="L198" s="3"/>
      <c r="M198" s="3"/>
    </row>
    <row r="199" spans="1:13" ht="49.5" customHeight="1" x14ac:dyDescent="0.25">
      <c r="A199" s="118"/>
      <c r="B199" s="123"/>
      <c r="C199" s="118"/>
      <c r="D199" s="107" t="s">
        <v>670</v>
      </c>
      <c r="E199" s="116" t="s">
        <v>16</v>
      </c>
      <c r="F199" s="116" t="s">
        <v>6</v>
      </c>
      <c r="G199" s="20">
        <v>21119.9</v>
      </c>
      <c r="H199" s="20">
        <v>23854.400000000001</v>
      </c>
      <c r="I199" s="76">
        <v>29702.25</v>
      </c>
      <c r="J199" s="187"/>
      <c r="K199" s="3"/>
      <c r="L199" s="3"/>
      <c r="M199" s="3"/>
    </row>
    <row r="200" spans="1:13" x14ac:dyDescent="0.25">
      <c r="A200" s="117"/>
      <c r="B200" s="123"/>
      <c r="C200" s="117"/>
      <c r="D200" s="107" t="s">
        <v>115</v>
      </c>
      <c r="E200" s="117"/>
      <c r="F200" s="117"/>
      <c r="G200" s="20">
        <v>8150.1</v>
      </c>
      <c r="H200" s="20">
        <v>528.4</v>
      </c>
      <c r="I200" s="76">
        <v>528.4</v>
      </c>
      <c r="J200" s="187"/>
      <c r="K200" s="3"/>
      <c r="L200" s="3"/>
      <c r="M200" s="3"/>
    </row>
    <row r="201" spans="1:13" ht="59.25" customHeight="1" x14ac:dyDescent="0.25">
      <c r="A201" s="116" t="s">
        <v>684</v>
      </c>
      <c r="B201" s="123"/>
      <c r="C201" s="116" t="s">
        <v>132</v>
      </c>
      <c r="D201" s="5" t="s">
        <v>1638</v>
      </c>
      <c r="E201" s="107" t="s">
        <v>139</v>
      </c>
      <c r="F201" s="107" t="s">
        <v>85</v>
      </c>
      <c r="G201" s="19">
        <v>17591</v>
      </c>
      <c r="H201" s="19">
        <v>17591</v>
      </c>
      <c r="I201" s="73">
        <f>H201</f>
        <v>17591</v>
      </c>
      <c r="J201" s="187"/>
      <c r="K201" s="3"/>
      <c r="L201" s="3"/>
      <c r="M201" s="3"/>
    </row>
    <row r="202" spans="1:13" ht="60" x14ac:dyDescent="0.25">
      <c r="A202" s="117"/>
      <c r="B202" s="124"/>
      <c r="C202" s="117"/>
      <c r="D202" s="107" t="s">
        <v>152</v>
      </c>
      <c r="E202" s="107" t="s">
        <v>16</v>
      </c>
      <c r="F202" s="107" t="s">
        <v>6</v>
      </c>
      <c r="G202" s="20">
        <v>6133.1</v>
      </c>
      <c r="H202" s="20">
        <v>7553.9</v>
      </c>
      <c r="I202" s="76">
        <v>9223.6299999999992</v>
      </c>
      <c r="J202" s="187"/>
      <c r="K202" s="3"/>
      <c r="L202" s="3"/>
      <c r="M202" s="3"/>
    </row>
    <row r="203" spans="1:13" ht="25.5" customHeight="1" x14ac:dyDescent="0.25">
      <c r="A203" s="144" t="s">
        <v>644</v>
      </c>
      <c r="B203" s="145"/>
      <c r="C203" s="145"/>
      <c r="D203" s="147"/>
      <c r="E203" s="128" t="s">
        <v>17</v>
      </c>
      <c r="F203" s="128" t="s">
        <v>6</v>
      </c>
      <c r="G203" s="33">
        <f>G145+G146+G148+G150+G152+G154+G156+G157+G158+G159+G161+G163+G165+G166+G168+G170+G171+G173+G175+G176+G177+G179+G180+G182+G184+G186+G188+G190+G191+G193+G194+G196+G197+G199+G200+G202</f>
        <v>723675.00000000012</v>
      </c>
      <c r="H203" s="33">
        <f>H145+H146+H148+H150+H152+H154+H156+H157+H158+H159+H161+H163+H165+H166+H168+H170+H171+H173+H175+H176+H177+H179+H180+H182+H184+H186+H188+H190+H191+H193+H194+H196+H197+H199+H200+H202</f>
        <v>778141.29999999993</v>
      </c>
      <c r="I203" s="79">
        <f>I145+I146+I148+I150+I152+I154+I156+I157+I158+I159+I161+I163+I165+I166+I168+I170+I171+I173+I175+I176+I177+I179+I180+I182+I184+I186+I188+I190+I191+I193+I194+I196+I197+I199+I200+I202</f>
        <v>858061.93</v>
      </c>
      <c r="J203" s="187"/>
      <c r="K203" s="3"/>
      <c r="L203" s="3"/>
      <c r="M203" s="3"/>
    </row>
    <row r="204" spans="1:13" ht="42.75" customHeight="1" x14ac:dyDescent="0.25">
      <c r="A204" s="144" t="s">
        <v>1171</v>
      </c>
      <c r="B204" s="145"/>
      <c r="C204" s="145"/>
      <c r="D204" s="147"/>
      <c r="E204" s="129"/>
      <c r="F204" s="129"/>
      <c r="G204" s="33">
        <f>G203</f>
        <v>723675.00000000012</v>
      </c>
      <c r="H204" s="33">
        <f>H203</f>
        <v>778141.29999999993</v>
      </c>
      <c r="I204" s="79">
        <f>+I203</f>
        <v>858061.93</v>
      </c>
      <c r="J204" s="187"/>
      <c r="K204" s="3"/>
      <c r="L204" s="3"/>
      <c r="M204" s="3"/>
    </row>
    <row r="205" spans="1:13" ht="15.75" x14ac:dyDescent="0.25">
      <c r="A205" s="172" t="s">
        <v>137</v>
      </c>
      <c r="B205" s="172"/>
      <c r="C205" s="172"/>
      <c r="D205" s="172"/>
      <c r="E205" s="172"/>
      <c r="F205" s="172"/>
      <c r="G205" s="172"/>
      <c r="H205" s="172"/>
      <c r="I205" s="172"/>
      <c r="J205" s="187"/>
      <c r="K205" s="3"/>
      <c r="L205" s="3"/>
      <c r="M205" s="3"/>
    </row>
    <row r="206" spans="1:13" ht="62.25" customHeight="1" x14ac:dyDescent="0.25">
      <c r="A206" s="130" t="s">
        <v>687</v>
      </c>
      <c r="B206" s="122" t="s">
        <v>705</v>
      </c>
      <c r="C206" s="130" t="s">
        <v>134</v>
      </c>
      <c r="D206" s="7" t="s">
        <v>1653</v>
      </c>
      <c r="E206" s="107" t="s">
        <v>1548</v>
      </c>
      <c r="F206" s="7" t="s">
        <v>103</v>
      </c>
      <c r="G206" s="19">
        <f>H206</f>
        <v>563737</v>
      </c>
      <c r="H206" s="19">
        <f>I206</f>
        <v>563737</v>
      </c>
      <c r="I206" s="73">
        <v>563737</v>
      </c>
      <c r="J206" s="187"/>
      <c r="K206" s="3"/>
      <c r="L206" s="3"/>
      <c r="M206" s="3"/>
    </row>
    <row r="207" spans="1:13" ht="60" x14ac:dyDescent="0.25">
      <c r="A207" s="130"/>
      <c r="B207" s="123"/>
      <c r="C207" s="130"/>
      <c r="D207" s="107" t="s">
        <v>685</v>
      </c>
      <c r="E207" s="107" t="s">
        <v>16</v>
      </c>
      <c r="F207" s="107" t="s">
        <v>6</v>
      </c>
      <c r="G207" s="20">
        <v>12004.828771001399</v>
      </c>
      <c r="H207" s="20">
        <v>14939.0849747712</v>
      </c>
      <c r="I207" s="76">
        <f>H207</f>
        <v>14939.0849747712</v>
      </c>
      <c r="J207" s="187"/>
      <c r="K207" s="3"/>
      <c r="L207" s="3"/>
      <c r="M207" s="3"/>
    </row>
    <row r="208" spans="1:13" ht="63.75" customHeight="1" x14ac:dyDescent="0.25">
      <c r="A208" s="116" t="s">
        <v>688</v>
      </c>
      <c r="B208" s="123"/>
      <c r="C208" s="130" t="s">
        <v>134</v>
      </c>
      <c r="D208" s="7" t="s">
        <v>1654</v>
      </c>
      <c r="E208" s="107" t="s">
        <v>1544</v>
      </c>
      <c r="F208" s="7" t="s">
        <v>103</v>
      </c>
      <c r="G208" s="19">
        <v>511422</v>
      </c>
      <c r="H208" s="19">
        <v>511422</v>
      </c>
      <c r="I208" s="73">
        <v>511422</v>
      </c>
      <c r="J208" s="187"/>
      <c r="K208" s="3"/>
      <c r="L208" s="3"/>
      <c r="M208" s="3"/>
    </row>
    <row r="209" spans="1:13" ht="60" x14ac:dyDescent="0.25">
      <c r="A209" s="117"/>
      <c r="B209" s="123"/>
      <c r="C209" s="130"/>
      <c r="D209" s="107" t="s">
        <v>685</v>
      </c>
      <c r="E209" s="107" t="s">
        <v>16</v>
      </c>
      <c r="F209" s="107" t="s">
        <v>6</v>
      </c>
      <c r="G209" s="20">
        <v>10895.233807265586</v>
      </c>
      <c r="H209" s="20">
        <v>13558.279486660538</v>
      </c>
      <c r="I209" s="76">
        <f>H209</f>
        <v>13558.279486660538</v>
      </c>
      <c r="J209" s="187"/>
      <c r="K209" s="3"/>
      <c r="L209" s="3"/>
      <c r="M209" s="3"/>
    </row>
    <row r="210" spans="1:13" ht="61.5" customHeight="1" x14ac:dyDescent="0.25">
      <c r="A210" s="116" t="s">
        <v>689</v>
      </c>
      <c r="B210" s="123"/>
      <c r="C210" s="130" t="s">
        <v>134</v>
      </c>
      <c r="D210" s="107" t="s">
        <v>1655</v>
      </c>
      <c r="E210" s="107" t="s">
        <v>1549</v>
      </c>
      <c r="F210" s="261" t="s">
        <v>85</v>
      </c>
      <c r="G210" s="19">
        <v>43652</v>
      </c>
      <c r="H210" s="19">
        <v>43652</v>
      </c>
      <c r="I210" s="73">
        <v>43652</v>
      </c>
      <c r="J210" s="187"/>
      <c r="K210" s="3"/>
      <c r="L210" s="3"/>
      <c r="M210" s="3"/>
    </row>
    <row r="211" spans="1:13" ht="60" x14ac:dyDescent="0.25">
      <c r="A211" s="117"/>
      <c r="B211" s="123"/>
      <c r="C211" s="130"/>
      <c r="D211" s="107" t="s">
        <v>685</v>
      </c>
      <c r="E211" s="107" t="s">
        <v>16</v>
      </c>
      <c r="F211" s="107" t="s">
        <v>6</v>
      </c>
      <c r="G211" s="20">
        <v>929.95320517365474</v>
      </c>
      <c r="H211" s="20">
        <v>1157.2556834702182</v>
      </c>
      <c r="I211" s="76">
        <f>H211</f>
        <v>1157.2556834702182</v>
      </c>
      <c r="J211" s="187"/>
      <c r="K211" s="3"/>
      <c r="L211" s="3"/>
      <c r="M211" s="3"/>
    </row>
    <row r="212" spans="1:13" ht="63.75" customHeight="1" x14ac:dyDescent="0.25">
      <c r="A212" s="116" t="s">
        <v>690</v>
      </c>
      <c r="B212" s="123"/>
      <c r="C212" s="130" t="s">
        <v>134</v>
      </c>
      <c r="D212" s="7" t="s">
        <v>1656</v>
      </c>
      <c r="E212" s="107" t="s">
        <v>1545</v>
      </c>
      <c r="F212" s="107" t="s">
        <v>85</v>
      </c>
      <c r="G212" s="19">
        <v>4604292</v>
      </c>
      <c r="H212" s="19">
        <v>4604292</v>
      </c>
      <c r="I212" s="73">
        <v>4604292</v>
      </c>
      <c r="J212" s="187"/>
      <c r="K212" s="3"/>
      <c r="L212" s="3"/>
      <c r="M212" s="3"/>
    </row>
    <row r="213" spans="1:13" ht="60" x14ac:dyDescent="0.25">
      <c r="A213" s="117"/>
      <c r="B213" s="123"/>
      <c r="C213" s="130"/>
      <c r="D213" s="107" t="s">
        <v>685</v>
      </c>
      <c r="E213" s="107" t="s">
        <v>16</v>
      </c>
      <c r="F213" s="107" t="s">
        <v>6</v>
      </c>
      <c r="G213" s="20">
        <v>146317.30787487974</v>
      </c>
      <c r="H213" s="20">
        <v>122825.5102296383</v>
      </c>
      <c r="I213" s="76">
        <f>H213</f>
        <v>122825.5102296383</v>
      </c>
      <c r="J213" s="187"/>
      <c r="K213" s="3"/>
      <c r="L213" s="3"/>
      <c r="M213" s="3"/>
    </row>
    <row r="214" spans="1:13" ht="66.75" customHeight="1" x14ac:dyDescent="0.25">
      <c r="A214" s="116" t="s">
        <v>691</v>
      </c>
      <c r="B214" s="123"/>
      <c r="C214" s="130" t="s">
        <v>134</v>
      </c>
      <c r="D214" s="107" t="s">
        <v>1657</v>
      </c>
      <c r="E214" s="107" t="s">
        <v>1550</v>
      </c>
      <c r="F214" s="7" t="s">
        <v>85</v>
      </c>
      <c r="G214" s="19">
        <v>4281611</v>
      </c>
      <c r="H214" s="19">
        <v>4281611</v>
      </c>
      <c r="I214" s="73">
        <v>4281611</v>
      </c>
      <c r="J214" s="187"/>
      <c r="K214" s="3"/>
      <c r="L214" s="3"/>
      <c r="M214" s="3"/>
    </row>
    <row r="215" spans="1:13" ht="60" x14ac:dyDescent="0.25">
      <c r="A215" s="117"/>
      <c r="B215" s="123"/>
      <c r="C215" s="130"/>
      <c r="D215" s="107" t="s">
        <v>685</v>
      </c>
      <c r="E215" s="107" t="s">
        <v>16</v>
      </c>
      <c r="F215" s="107" t="s">
        <v>6</v>
      </c>
      <c r="G215" s="20">
        <v>91214.59952203896</v>
      </c>
      <c r="H215" s="20">
        <v>113509.54513329522</v>
      </c>
      <c r="I215" s="76">
        <f>H215</f>
        <v>113509.54513329522</v>
      </c>
      <c r="J215" s="187"/>
      <c r="K215" s="3"/>
      <c r="L215" s="3"/>
      <c r="M215" s="3"/>
    </row>
    <row r="216" spans="1:13" ht="63" customHeight="1" x14ac:dyDescent="0.25">
      <c r="A216" s="116" t="s">
        <v>692</v>
      </c>
      <c r="B216" s="123"/>
      <c r="C216" s="130" t="s">
        <v>134</v>
      </c>
      <c r="D216" s="7" t="s">
        <v>1658</v>
      </c>
      <c r="E216" s="107" t="s">
        <v>1546</v>
      </c>
      <c r="F216" s="7" t="s">
        <v>85</v>
      </c>
      <c r="G216" s="19">
        <v>16373</v>
      </c>
      <c r="H216" s="19">
        <v>16373</v>
      </c>
      <c r="I216" s="73">
        <v>16373</v>
      </c>
      <c r="J216" s="187"/>
      <c r="K216" s="3"/>
      <c r="L216" s="3"/>
      <c r="M216" s="3"/>
    </row>
    <row r="217" spans="1:13" ht="60" x14ac:dyDescent="0.25">
      <c r="A217" s="117"/>
      <c r="B217" s="123"/>
      <c r="C217" s="130"/>
      <c r="D217" s="107" t="s">
        <v>153</v>
      </c>
      <c r="E217" s="107" t="s">
        <v>16</v>
      </c>
      <c r="F217" s="107" t="s">
        <v>6</v>
      </c>
      <c r="G217" s="20">
        <v>348.80717514373538</v>
      </c>
      <c r="H217" s="20">
        <v>434.06366960180242</v>
      </c>
      <c r="I217" s="76">
        <f>H217</f>
        <v>434.06366960180242</v>
      </c>
      <c r="J217" s="187"/>
      <c r="K217" s="3"/>
      <c r="L217" s="3"/>
      <c r="M217" s="3"/>
    </row>
    <row r="218" spans="1:13" ht="60.75" customHeight="1" x14ac:dyDescent="0.25">
      <c r="A218" s="116" t="s">
        <v>693</v>
      </c>
      <c r="B218" s="123"/>
      <c r="C218" s="130" t="s">
        <v>134</v>
      </c>
      <c r="D218" s="7" t="s">
        <v>1659</v>
      </c>
      <c r="E218" s="107" t="s">
        <v>1547</v>
      </c>
      <c r="F218" s="107" t="s">
        <v>85</v>
      </c>
      <c r="G218" s="19">
        <v>3431115</v>
      </c>
      <c r="H218" s="19">
        <v>3431115</v>
      </c>
      <c r="I218" s="73">
        <v>3431115</v>
      </c>
      <c r="J218" s="187"/>
      <c r="K218" s="3"/>
      <c r="L218" s="3"/>
      <c r="M218" s="3"/>
    </row>
    <row r="219" spans="1:13" ht="60" x14ac:dyDescent="0.25">
      <c r="A219" s="117"/>
      <c r="B219" s="123"/>
      <c r="C219" s="130"/>
      <c r="D219" s="107" t="s">
        <v>685</v>
      </c>
      <c r="E219" s="107" t="s">
        <v>16</v>
      </c>
      <c r="F219" s="107" t="s">
        <v>6</v>
      </c>
      <c r="G219" s="20">
        <v>73095.799837738799</v>
      </c>
      <c r="H219" s="20">
        <v>90962.09416269396</v>
      </c>
      <c r="I219" s="76">
        <f>H219</f>
        <v>90962.09416269396</v>
      </c>
      <c r="J219" s="187"/>
      <c r="K219" s="3"/>
      <c r="L219" s="3"/>
      <c r="M219" s="3"/>
    </row>
    <row r="220" spans="1:13" ht="66" customHeight="1" x14ac:dyDescent="0.25">
      <c r="A220" s="116" t="s">
        <v>694</v>
      </c>
      <c r="B220" s="123"/>
      <c r="C220" s="130" t="s">
        <v>134</v>
      </c>
      <c r="D220" s="7" t="s">
        <v>1660</v>
      </c>
      <c r="E220" s="107" t="s">
        <v>1551</v>
      </c>
      <c r="F220" s="107" t="s">
        <v>103</v>
      </c>
      <c r="G220" s="19">
        <v>2377236</v>
      </c>
      <c r="H220" s="19">
        <v>2377236</v>
      </c>
      <c r="I220" s="73">
        <v>2377236</v>
      </c>
      <c r="J220" s="187"/>
      <c r="K220" s="3"/>
      <c r="L220" s="3"/>
      <c r="M220" s="3"/>
    </row>
    <row r="221" spans="1:13" ht="60" x14ac:dyDescent="0.25">
      <c r="A221" s="117"/>
      <c r="B221" s="123"/>
      <c r="C221" s="130"/>
      <c r="D221" s="107" t="s">
        <v>685</v>
      </c>
      <c r="E221" s="107" t="s">
        <v>16</v>
      </c>
      <c r="F221" s="107" t="s">
        <v>6</v>
      </c>
      <c r="G221" s="20">
        <v>50644.168680754461</v>
      </c>
      <c r="H221" s="20">
        <v>63022.768073627944</v>
      </c>
      <c r="I221" s="76">
        <f>H221</f>
        <v>63022.768073627944</v>
      </c>
      <c r="J221" s="187"/>
      <c r="K221" s="3"/>
      <c r="L221" s="3"/>
      <c r="M221" s="3"/>
    </row>
    <row r="222" spans="1:13" ht="63.75" customHeight="1" x14ac:dyDescent="0.25">
      <c r="A222" s="116" t="s">
        <v>695</v>
      </c>
      <c r="B222" s="123"/>
      <c r="C222" s="130" t="s">
        <v>134</v>
      </c>
      <c r="D222" s="7" t="s">
        <v>1661</v>
      </c>
      <c r="E222" s="107" t="s">
        <v>1553</v>
      </c>
      <c r="F222" s="7" t="s">
        <v>103</v>
      </c>
      <c r="G222" s="19">
        <v>1238631</v>
      </c>
      <c r="H222" s="19">
        <v>1238631</v>
      </c>
      <c r="I222" s="73">
        <v>1238631</v>
      </c>
      <c r="J222" s="187"/>
      <c r="K222" s="3"/>
      <c r="L222" s="3"/>
      <c r="M222" s="3"/>
    </row>
    <row r="223" spans="1:13" ht="60" x14ac:dyDescent="0.25">
      <c r="A223" s="117"/>
      <c r="B223" s="123"/>
      <c r="C223" s="130"/>
      <c r="D223" s="107" t="s">
        <v>706</v>
      </c>
      <c r="E223" s="107" t="s">
        <v>16</v>
      </c>
      <c r="F223" s="107" t="s">
        <v>6</v>
      </c>
      <c r="G223" s="20">
        <v>26387.551466161367</v>
      </c>
      <c r="H223" s="20">
        <v>32837.275828653888</v>
      </c>
      <c r="I223" s="76">
        <f>H223</f>
        <v>32837.275828653888</v>
      </c>
      <c r="J223" s="187"/>
      <c r="K223" s="3"/>
      <c r="L223" s="3"/>
      <c r="M223" s="3"/>
    </row>
    <row r="224" spans="1:13" ht="60" customHeight="1" x14ac:dyDescent="0.25">
      <c r="A224" s="116" t="s">
        <v>696</v>
      </c>
      <c r="B224" s="123"/>
      <c r="C224" s="130" t="s">
        <v>134</v>
      </c>
      <c r="D224" s="7" t="s">
        <v>1662</v>
      </c>
      <c r="E224" s="107" t="s">
        <v>1554</v>
      </c>
      <c r="F224" s="7" t="s">
        <v>85</v>
      </c>
      <c r="G224" s="19">
        <v>835087</v>
      </c>
      <c r="H224" s="19">
        <v>835087</v>
      </c>
      <c r="I224" s="73">
        <v>835087</v>
      </c>
      <c r="J224" s="187"/>
      <c r="K224" s="3"/>
      <c r="L224" s="3"/>
      <c r="M224" s="3"/>
    </row>
    <row r="225" spans="1:13" ht="60" x14ac:dyDescent="0.25">
      <c r="A225" s="117"/>
      <c r="B225" s="123"/>
      <c r="C225" s="130"/>
      <c r="D225" s="107" t="s">
        <v>685</v>
      </c>
      <c r="E225" s="107" t="s">
        <v>16</v>
      </c>
      <c r="F225" s="107" t="s">
        <v>6</v>
      </c>
      <c r="G225" s="20">
        <v>17790.529375756218</v>
      </c>
      <c r="H225" s="20">
        <v>22138.943850043386</v>
      </c>
      <c r="I225" s="76">
        <f>H225</f>
        <v>22138.943850043386</v>
      </c>
      <c r="J225" s="187"/>
      <c r="K225" s="3"/>
      <c r="L225" s="3"/>
      <c r="M225" s="3"/>
    </row>
    <row r="226" spans="1:13" ht="63.75" customHeight="1" x14ac:dyDescent="0.25">
      <c r="A226" s="116" t="s">
        <v>697</v>
      </c>
      <c r="B226" s="123"/>
      <c r="C226" s="130" t="s">
        <v>134</v>
      </c>
      <c r="D226" s="7" t="s">
        <v>1663</v>
      </c>
      <c r="E226" s="107" t="s">
        <v>1552</v>
      </c>
      <c r="F226" s="7" t="s">
        <v>85</v>
      </c>
      <c r="G226" s="19">
        <v>963969</v>
      </c>
      <c r="H226" s="19">
        <v>963969</v>
      </c>
      <c r="I226" s="73">
        <v>963969</v>
      </c>
      <c r="J226" s="187"/>
      <c r="K226" s="3"/>
      <c r="L226" s="3"/>
      <c r="M226" s="3"/>
    </row>
    <row r="227" spans="1:13" ht="60" x14ac:dyDescent="0.25">
      <c r="A227" s="117"/>
      <c r="B227" s="123"/>
      <c r="C227" s="130"/>
      <c r="D227" s="107" t="s">
        <v>685</v>
      </c>
      <c r="E227" s="107" t="s">
        <v>16</v>
      </c>
      <c r="F227" s="107" t="s">
        <v>6</v>
      </c>
      <c r="G227" s="20">
        <v>20536.206181892838</v>
      </c>
      <c r="H227" s="20">
        <v>25555.727204689421</v>
      </c>
      <c r="I227" s="76">
        <f>H227</f>
        <v>25555.727204689421</v>
      </c>
      <c r="J227" s="187"/>
      <c r="K227" s="3"/>
      <c r="L227" s="3"/>
      <c r="M227" s="3"/>
    </row>
    <row r="228" spans="1:13" ht="60" customHeight="1" x14ac:dyDescent="0.25">
      <c r="A228" s="116" t="s">
        <v>698</v>
      </c>
      <c r="B228" s="123"/>
      <c r="C228" s="130" t="s">
        <v>135</v>
      </c>
      <c r="D228" s="7" t="s">
        <v>2042</v>
      </c>
      <c r="E228" s="107" t="s">
        <v>1555</v>
      </c>
      <c r="F228" s="107" t="s">
        <v>85</v>
      </c>
      <c r="G228" s="19">
        <v>431</v>
      </c>
      <c r="H228" s="19">
        <v>431</v>
      </c>
      <c r="I228" s="73">
        <v>431</v>
      </c>
      <c r="J228" s="187"/>
      <c r="K228" s="3"/>
      <c r="L228" s="3"/>
      <c r="M228" s="3"/>
    </row>
    <row r="229" spans="1:13" ht="60" x14ac:dyDescent="0.25">
      <c r="A229" s="117"/>
      <c r="B229" s="123"/>
      <c r="C229" s="130"/>
      <c r="D229" s="107" t="s">
        <v>153</v>
      </c>
      <c r="E229" s="107" t="s">
        <v>16</v>
      </c>
      <c r="F229" s="107" t="s">
        <v>6</v>
      </c>
      <c r="G229" s="20">
        <v>411.12427297950001</v>
      </c>
      <c r="H229" s="20">
        <v>511.61249913600005</v>
      </c>
      <c r="I229" s="76">
        <f>H229</f>
        <v>511.61249913600005</v>
      </c>
      <c r="J229" s="187"/>
      <c r="K229" s="3"/>
      <c r="L229" s="3"/>
      <c r="M229" s="3"/>
    </row>
    <row r="230" spans="1:13" ht="75" customHeight="1" x14ac:dyDescent="0.25">
      <c r="A230" s="116" t="s">
        <v>699</v>
      </c>
      <c r="B230" s="123"/>
      <c r="C230" s="130" t="s">
        <v>135</v>
      </c>
      <c r="D230" s="107" t="s">
        <v>1664</v>
      </c>
      <c r="E230" s="107" t="s">
        <v>1556</v>
      </c>
      <c r="F230" s="107" t="s">
        <v>85</v>
      </c>
      <c r="G230" s="19">
        <v>9748</v>
      </c>
      <c r="H230" s="19">
        <v>9748</v>
      </c>
      <c r="I230" s="73">
        <v>9748</v>
      </c>
      <c r="J230" s="187"/>
      <c r="K230" s="3"/>
      <c r="L230" s="3"/>
      <c r="M230" s="3"/>
    </row>
    <row r="231" spans="1:13" ht="60" x14ac:dyDescent="0.25">
      <c r="A231" s="117"/>
      <c r="B231" s="123"/>
      <c r="C231" s="130"/>
      <c r="D231" s="107" t="s">
        <v>685</v>
      </c>
      <c r="E231" s="107" t="s">
        <v>16</v>
      </c>
      <c r="F231" s="107" t="s">
        <v>6</v>
      </c>
      <c r="G231" s="20">
        <v>207.66947677891235</v>
      </c>
      <c r="H231" s="20">
        <v>258.4286722823166</v>
      </c>
      <c r="I231" s="76">
        <f>H231</f>
        <v>258.4286722823166</v>
      </c>
      <c r="J231" s="187"/>
      <c r="K231" s="3"/>
      <c r="L231" s="3"/>
      <c r="M231" s="3"/>
    </row>
    <row r="232" spans="1:13" ht="91.5" customHeight="1" x14ac:dyDescent="0.25">
      <c r="A232" s="116" t="s">
        <v>700</v>
      </c>
      <c r="B232" s="123"/>
      <c r="C232" s="130" t="s">
        <v>135</v>
      </c>
      <c r="D232" s="7" t="s">
        <v>1665</v>
      </c>
      <c r="E232" s="107" t="s">
        <v>1557</v>
      </c>
      <c r="F232" s="107" t="s">
        <v>85</v>
      </c>
      <c r="G232" s="19">
        <v>9748</v>
      </c>
      <c r="H232" s="19">
        <v>9748</v>
      </c>
      <c r="I232" s="73">
        <v>9748</v>
      </c>
      <c r="J232" s="187"/>
      <c r="K232" s="3"/>
      <c r="L232" s="3"/>
      <c r="M232" s="3"/>
    </row>
    <row r="233" spans="1:13" ht="60" x14ac:dyDescent="0.25">
      <c r="A233" s="117"/>
      <c r="B233" s="123"/>
      <c r="C233" s="130"/>
      <c r="D233" s="107" t="s">
        <v>685</v>
      </c>
      <c r="E233" s="107" t="s">
        <v>16</v>
      </c>
      <c r="F233" s="107" t="s">
        <v>6</v>
      </c>
      <c r="G233" s="20">
        <v>207.66947677891235</v>
      </c>
      <c r="H233" s="20">
        <v>258.4286722823166</v>
      </c>
      <c r="I233" s="76">
        <f>H233</f>
        <v>258.4286722823166</v>
      </c>
      <c r="J233" s="187"/>
      <c r="K233" s="3"/>
      <c r="L233" s="3"/>
      <c r="M233" s="3"/>
    </row>
    <row r="234" spans="1:13" ht="92.25" customHeight="1" x14ac:dyDescent="0.25">
      <c r="A234" s="116" t="s">
        <v>701</v>
      </c>
      <c r="B234" s="123"/>
      <c r="C234" s="130" t="s">
        <v>135</v>
      </c>
      <c r="D234" s="107" t="s">
        <v>1666</v>
      </c>
      <c r="E234" s="107" t="s">
        <v>1558</v>
      </c>
      <c r="F234" s="261" t="s">
        <v>85</v>
      </c>
      <c r="G234" s="19">
        <v>9748</v>
      </c>
      <c r="H234" s="19">
        <v>9748</v>
      </c>
      <c r="I234" s="73">
        <v>9748</v>
      </c>
      <c r="J234" s="187"/>
      <c r="K234" s="3"/>
      <c r="L234" s="3"/>
      <c r="M234" s="3"/>
    </row>
    <row r="235" spans="1:13" ht="60" x14ac:dyDescent="0.25">
      <c r="A235" s="117"/>
      <c r="B235" s="123"/>
      <c r="C235" s="130"/>
      <c r="D235" s="107" t="s">
        <v>707</v>
      </c>
      <c r="E235" s="107" t="s">
        <v>16</v>
      </c>
      <c r="F235" s="107" t="s">
        <v>6</v>
      </c>
      <c r="G235" s="20">
        <v>207.66947677891235</v>
      </c>
      <c r="H235" s="20">
        <v>258.4286722823166</v>
      </c>
      <c r="I235" s="76">
        <f>H235</f>
        <v>258.4286722823166</v>
      </c>
      <c r="J235" s="187"/>
      <c r="K235" s="3"/>
      <c r="L235" s="3"/>
      <c r="M235" s="3"/>
    </row>
    <row r="236" spans="1:13" ht="63.75" customHeight="1" x14ac:dyDescent="0.25">
      <c r="A236" s="116" t="s">
        <v>702</v>
      </c>
      <c r="B236" s="123"/>
      <c r="C236" s="130" t="s">
        <v>136</v>
      </c>
      <c r="D236" s="107" t="s">
        <v>1667</v>
      </c>
      <c r="E236" s="107" t="s">
        <v>1559</v>
      </c>
      <c r="F236" s="7" t="s">
        <v>103</v>
      </c>
      <c r="G236" s="19">
        <v>227067</v>
      </c>
      <c r="H236" s="19">
        <v>227067</v>
      </c>
      <c r="I236" s="73">
        <v>227067</v>
      </c>
      <c r="J236" s="187"/>
      <c r="K236" s="3"/>
      <c r="L236" s="3"/>
      <c r="M236" s="3"/>
    </row>
    <row r="237" spans="1:13" ht="60" x14ac:dyDescent="0.25">
      <c r="A237" s="117"/>
      <c r="B237" s="123"/>
      <c r="C237" s="130"/>
      <c r="D237" s="107" t="s">
        <v>685</v>
      </c>
      <c r="E237" s="107" t="s">
        <v>16</v>
      </c>
      <c r="F237" s="107" t="s">
        <v>6</v>
      </c>
      <c r="G237" s="20">
        <v>4837.3907554121151</v>
      </c>
      <c r="H237" s="20">
        <v>6019.7602922782917</v>
      </c>
      <c r="I237" s="76">
        <f>H237</f>
        <v>6019.7602922782917</v>
      </c>
      <c r="J237" s="187"/>
      <c r="K237" s="3"/>
      <c r="L237" s="3"/>
      <c r="M237" s="3"/>
    </row>
    <row r="238" spans="1:13" ht="62.25" customHeight="1" x14ac:dyDescent="0.25">
      <c r="A238" s="116" t="s">
        <v>703</v>
      </c>
      <c r="B238" s="123"/>
      <c r="C238" s="130" t="s">
        <v>136</v>
      </c>
      <c r="D238" s="7" t="s">
        <v>1668</v>
      </c>
      <c r="E238" s="107" t="s">
        <v>1560</v>
      </c>
      <c r="F238" s="7" t="s">
        <v>103</v>
      </c>
      <c r="G238" s="19">
        <v>174296</v>
      </c>
      <c r="H238" s="19">
        <v>174296</v>
      </c>
      <c r="I238" s="73">
        <v>174296</v>
      </c>
      <c r="J238" s="187"/>
      <c r="K238" s="3"/>
      <c r="L238" s="3"/>
      <c r="M238" s="3"/>
    </row>
    <row r="239" spans="1:13" ht="60" x14ac:dyDescent="0.25">
      <c r="A239" s="117"/>
      <c r="B239" s="124"/>
      <c r="C239" s="130"/>
      <c r="D239" s="107" t="s">
        <v>685</v>
      </c>
      <c r="E239" s="107" t="s">
        <v>16</v>
      </c>
      <c r="F239" s="107" t="s">
        <v>6</v>
      </c>
      <c r="G239" s="20">
        <v>3713.1677395011607</v>
      </c>
      <c r="H239" s="20">
        <v>4620.7513196674863</v>
      </c>
      <c r="I239" s="76">
        <f>H239</f>
        <v>4620.7513196674863</v>
      </c>
      <c r="J239" s="187"/>
      <c r="K239" s="3"/>
      <c r="L239" s="3"/>
      <c r="M239" s="3"/>
    </row>
    <row r="240" spans="1:13" ht="33" customHeight="1" x14ac:dyDescent="0.25">
      <c r="A240" s="262" t="s">
        <v>704</v>
      </c>
      <c r="B240" s="262"/>
      <c r="C240" s="262"/>
      <c r="D240" s="262"/>
      <c r="E240" s="128" t="s">
        <v>17</v>
      </c>
      <c r="F240" s="128" t="s">
        <v>6</v>
      </c>
      <c r="G240" s="33">
        <f>G207+G209+G211+G213+G215+G217+G219+G221+G223+G225+G227+G229+G231+G233+G235+G237+G239</f>
        <v>459749.67709603626</v>
      </c>
      <c r="H240" s="33">
        <f>H207+H209+H211+H213+H215+H217+H219+H221+H223+H225+H227+H229+H231+H233+H235+H237+H239</f>
        <v>512867.95842507464</v>
      </c>
      <c r="I240" s="81">
        <f>I239+I237+I235+I233+I231+I229+I227+I225+I223+I221+I219+I217+I215+I213+I211+I209+I207</f>
        <v>512867.95842507464</v>
      </c>
      <c r="J240" s="187"/>
      <c r="K240" s="3"/>
      <c r="L240" s="3"/>
      <c r="M240" s="3"/>
    </row>
    <row r="241" spans="1:13" ht="37.5" customHeight="1" x14ac:dyDescent="0.25">
      <c r="A241" s="157" t="s">
        <v>708</v>
      </c>
      <c r="B241" s="146"/>
      <c r="C241" s="146"/>
      <c r="D241" s="158"/>
      <c r="E241" s="129"/>
      <c r="F241" s="129"/>
      <c r="G241" s="263">
        <f>+G240</f>
        <v>459749.67709603626</v>
      </c>
      <c r="H241" s="263">
        <f>+H240</f>
        <v>512867.95842507464</v>
      </c>
      <c r="I241" s="264">
        <f>+I240</f>
        <v>512867.95842507464</v>
      </c>
      <c r="J241" s="187"/>
      <c r="K241" s="3"/>
      <c r="L241" s="3"/>
      <c r="M241" s="3"/>
    </row>
    <row r="242" spans="1:13" ht="15.75" x14ac:dyDescent="0.25">
      <c r="A242" s="138" t="s">
        <v>517</v>
      </c>
      <c r="B242" s="139"/>
      <c r="C242" s="139"/>
      <c r="D242" s="139"/>
      <c r="E242" s="139"/>
      <c r="F242" s="139"/>
      <c r="G242" s="139"/>
      <c r="H242" s="139"/>
      <c r="I242" s="140"/>
      <c r="J242" s="187"/>
      <c r="K242" s="3"/>
      <c r="L242" s="3"/>
      <c r="M242" s="3"/>
    </row>
    <row r="243" spans="1:13" ht="62.25" customHeight="1" x14ac:dyDescent="0.25">
      <c r="A243" s="118" t="s">
        <v>710</v>
      </c>
      <c r="B243" s="228" t="s">
        <v>720</v>
      </c>
      <c r="C243" s="130" t="s">
        <v>2045</v>
      </c>
      <c r="D243" s="107" t="s">
        <v>1669</v>
      </c>
      <c r="E243" s="107" t="s">
        <v>2044</v>
      </c>
      <c r="F243" s="107" t="s">
        <v>154</v>
      </c>
      <c r="G243" s="20">
        <v>37</v>
      </c>
      <c r="H243" s="20">
        <v>37</v>
      </c>
      <c r="I243" s="76">
        <v>37</v>
      </c>
      <c r="J243" s="98"/>
      <c r="K243" s="14"/>
      <c r="L243" s="14"/>
      <c r="M243" s="14"/>
    </row>
    <row r="244" spans="1:13" ht="60" x14ac:dyDescent="0.25">
      <c r="A244" s="130"/>
      <c r="B244" s="228"/>
      <c r="C244" s="130"/>
      <c r="D244" s="107" t="s">
        <v>709</v>
      </c>
      <c r="E244" s="107" t="s">
        <v>16</v>
      </c>
      <c r="F244" s="107" t="s">
        <v>6</v>
      </c>
      <c r="G244" s="20">
        <f>2801.5+3313.15-432.49</f>
        <v>5682.16</v>
      </c>
      <c r="H244" s="20">
        <v>2801.5</v>
      </c>
      <c r="I244" s="76">
        <v>2801.5</v>
      </c>
      <c r="J244" s="98"/>
      <c r="K244" s="14"/>
      <c r="L244" s="14"/>
      <c r="M244" s="14"/>
    </row>
    <row r="245" spans="1:13" ht="60" customHeight="1" x14ac:dyDescent="0.25">
      <c r="A245" s="118" t="s">
        <v>711</v>
      </c>
      <c r="B245" s="228"/>
      <c r="C245" s="130" t="s">
        <v>1565</v>
      </c>
      <c r="D245" s="107" t="s">
        <v>1670</v>
      </c>
      <c r="E245" s="107" t="s">
        <v>2046</v>
      </c>
      <c r="F245" s="107" t="s">
        <v>154</v>
      </c>
      <c r="G245" s="20">
        <v>64.5</v>
      </c>
      <c r="H245" s="20">
        <v>64.5</v>
      </c>
      <c r="I245" s="76">
        <v>64.5</v>
      </c>
      <c r="J245" s="98"/>
      <c r="K245" s="14"/>
      <c r="L245" s="14"/>
      <c r="M245" s="14"/>
    </row>
    <row r="246" spans="1:13" ht="60" x14ac:dyDescent="0.25">
      <c r="A246" s="130"/>
      <c r="B246" s="228"/>
      <c r="C246" s="130"/>
      <c r="D246" s="107" t="s">
        <v>713</v>
      </c>
      <c r="E246" s="107" t="s">
        <v>16</v>
      </c>
      <c r="F246" s="107" t="s">
        <v>6</v>
      </c>
      <c r="G246" s="20">
        <f>2464.97+3313.15-432.49</f>
        <v>5345.63</v>
      </c>
      <c r="H246" s="20">
        <v>2464.9699999999998</v>
      </c>
      <c r="I246" s="76">
        <v>2464.9699999999998</v>
      </c>
      <c r="J246" s="98"/>
      <c r="K246" s="14"/>
      <c r="L246" s="14"/>
      <c r="M246" s="14"/>
    </row>
    <row r="247" spans="1:13" ht="60" x14ac:dyDescent="0.25">
      <c r="A247" s="118" t="s">
        <v>712</v>
      </c>
      <c r="B247" s="228"/>
      <c r="C247" s="130" t="s">
        <v>1567</v>
      </c>
      <c r="D247" s="107" t="s">
        <v>2043</v>
      </c>
      <c r="E247" s="107" t="s">
        <v>2047</v>
      </c>
      <c r="F247" s="107" t="s">
        <v>155</v>
      </c>
      <c r="G247" s="20">
        <v>201.85</v>
      </c>
      <c r="H247" s="20">
        <v>201.85</v>
      </c>
      <c r="I247" s="76">
        <v>201.85</v>
      </c>
      <c r="J247" s="98"/>
      <c r="K247" s="14"/>
      <c r="L247" s="14"/>
      <c r="M247" s="14"/>
    </row>
    <row r="248" spans="1:13" ht="60" x14ac:dyDescent="0.25">
      <c r="A248" s="130"/>
      <c r="B248" s="228"/>
      <c r="C248" s="130"/>
      <c r="D248" s="107" t="s">
        <v>713</v>
      </c>
      <c r="E248" s="107" t="s">
        <v>16</v>
      </c>
      <c r="F248" s="107" t="s">
        <v>6</v>
      </c>
      <c r="G248" s="20">
        <f>7133.1+3313.15-435</f>
        <v>10011.25</v>
      </c>
      <c r="H248" s="20">
        <v>7133.1</v>
      </c>
      <c r="I248" s="76">
        <v>7133.1</v>
      </c>
      <c r="J248" s="98"/>
      <c r="K248" s="14"/>
      <c r="L248" s="14"/>
      <c r="M248" s="14"/>
    </row>
    <row r="249" spans="1:13" ht="81.75" customHeight="1" x14ac:dyDescent="0.25">
      <c r="A249" s="118" t="s">
        <v>721</v>
      </c>
      <c r="B249" s="228"/>
      <c r="C249" s="130" t="s">
        <v>2049</v>
      </c>
      <c r="D249" s="107" t="s">
        <v>1671</v>
      </c>
      <c r="E249" s="107" t="s">
        <v>2048</v>
      </c>
      <c r="F249" s="107" t="s">
        <v>156</v>
      </c>
      <c r="G249" s="20">
        <v>6.51</v>
      </c>
      <c r="H249" s="20">
        <v>5.6820000000000004</v>
      </c>
      <c r="I249" s="76">
        <v>5.6820000000000004</v>
      </c>
      <c r="J249" s="98"/>
      <c r="K249" s="14"/>
      <c r="L249" s="14"/>
      <c r="M249" s="14"/>
    </row>
    <row r="250" spans="1:13" ht="60" x14ac:dyDescent="0.25">
      <c r="A250" s="130"/>
      <c r="B250" s="228"/>
      <c r="C250" s="130"/>
      <c r="D250" s="107" t="s">
        <v>713</v>
      </c>
      <c r="E250" s="107" t="s">
        <v>16</v>
      </c>
      <c r="F250" s="107" t="s">
        <v>6</v>
      </c>
      <c r="G250" s="20">
        <f>207.7+3313.19-435</f>
        <v>3085.89</v>
      </c>
      <c r="H250" s="20">
        <v>181.3</v>
      </c>
      <c r="I250" s="76">
        <v>181.3</v>
      </c>
      <c r="J250" s="98"/>
      <c r="K250" s="14"/>
      <c r="L250" s="14"/>
      <c r="M250" s="14"/>
    </row>
    <row r="251" spans="1:13" ht="60.75" customHeight="1" x14ac:dyDescent="0.25">
      <c r="A251" s="118" t="s">
        <v>722</v>
      </c>
      <c r="B251" s="228"/>
      <c r="C251" s="130" t="s">
        <v>1565</v>
      </c>
      <c r="D251" s="107" t="s">
        <v>1672</v>
      </c>
      <c r="E251" s="107" t="s">
        <v>2050</v>
      </c>
      <c r="F251" s="107" t="s">
        <v>154</v>
      </c>
      <c r="G251" s="20">
        <v>1117</v>
      </c>
      <c r="H251" s="20">
        <v>1117</v>
      </c>
      <c r="I251" s="76">
        <v>1117</v>
      </c>
      <c r="J251" s="98"/>
      <c r="K251" s="14"/>
      <c r="L251" s="14"/>
      <c r="M251" s="14"/>
    </row>
    <row r="252" spans="1:13" ht="60" x14ac:dyDescent="0.25">
      <c r="A252" s="130"/>
      <c r="B252" s="228"/>
      <c r="C252" s="130"/>
      <c r="D252" s="107" t="s">
        <v>713</v>
      </c>
      <c r="E252" s="107" t="s">
        <v>16</v>
      </c>
      <c r="F252" s="107" t="s">
        <v>6</v>
      </c>
      <c r="G252" s="20">
        <f>1110.3+3313.15-435</f>
        <v>3988.45</v>
      </c>
      <c r="H252" s="20">
        <v>1310.2</v>
      </c>
      <c r="I252" s="76">
        <v>1110.3</v>
      </c>
      <c r="J252" s="98"/>
      <c r="K252" s="14"/>
      <c r="L252" s="14"/>
      <c r="M252" s="14"/>
    </row>
    <row r="253" spans="1:13" ht="104.25" customHeight="1" x14ac:dyDescent="0.25">
      <c r="A253" s="118" t="s">
        <v>723</v>
      </c>
      <c r="B253" s="228"/>
      <c r="C253" s="130" t="s">
        <v>1567</v>
      </c>
      <c r="D253" s="107" t="s">
        <v>1673</v>
      </c>
      <c r="E253" s="107" t="s">
        <v>2051</v>
      </c>
      <c r="F253" s="107" t="s">
        <v>85</v>
      </c>
      <c r="G253" s="265">
        <v>27</v>
      </c>
      <c r="H253" s="265">
        <v>27</v>
      </c>
      <c r="I253" s="266">
        <v>27</v>
      </c>
      <c r="J253" s="98"/>
      <c r="K253" s="14"/>
      <c r="L253" s="14"/>
      <c r="M253" s="14"/>
    </row>
    <row r="254" spans="1:13" ht="60" x14ac:dyDescent="0.25">
      <c r="A254" s="130"/>
      <c r="B254" s="228"/>
      <c r="C254" s="130"/>
      <c r="D254" s="107" t="s">
        <v>713</v>
      </c>
      <c r="E254" s="107" t="s">
        <v>16</v>
      </c>
      <c r="F254" s="107" t="s">
        <v>6</v>
      </c>
      <c r="G254" s="20">
        <f>558.65+3313.15-435</f>
        <v>3436.8</v>
      </c>
      <c r="H254" s="20">
        <v>558.65</v>
      </c>
      <c r="I254" s="76">
        <v>558.65</v>
      </c>
      <c r="J254" s="98"/>
      <c r="K254" s="14"/>
      <c r="L254" s="14"/>
      <c r="M254" s="14"/>
    </row>
    <row r="255" spans="1:13" ht="108" customHeight="1" x14ac:dyDescent="0.25">
      <c r="A255" s="118" t="s">
        <v>724</v>
      </c>
      <c r="B255" s="228"/>
      <c r="C255" s="130" t="s">
        <v>2053</v>
      </c>
      <c r="D255" s="107" t="s">
        <v>1671</v>
      </c>
      <c r="E255" s="107" t="s">
        <v>2052</v>
      </c>
      <c r="F255" s="107" t="s">
        <v>157</v>
      </c>
      <c r="G255" s="20">
        <v>27152</v>
      </c>
      <c r="H255" s="20">
        <v>27152</v>
      </c>
      <c r="I255" s="76">
        <v>27152</v>
      </c>
      <c r="J255" s="98"/>
      <c r="K255" s="14"/>
      <c r="L255" s="14"/>
      <c r="M255" s="14"/>
    </row>
    <row r="256" spans="1:13" ht="51.75" customHeight="1" x14ac:dyDescent="0.25">
      <c r="A256" s="130"/>
      <c r="B256" s="228"/>
      <c r="C256" s="130"/>
      <c r="D256" s="107" t="s">
        <v>716</v>
      </c>
      <c r="E256" s="130" t="s">
        <v>16</v>
      </c>
      <c r="F256" s="130" t="s">
        <v>6</v>
      </c>
      <c r="G256" s="20">
        <v>70</v>
      </c>
      <c r="H256" s="20">
        <v>70</v>
      </c>
      <c r="I256" s="76">
        <v>62.75</v>
      </c>
      <c r="J256" s="98"/>
      <c r="K256" s="14"/>
      <c r="L256" s="14"/>
      <c r="M256" s="14"/>
    </row>
    <row r="257" spans="1:13" ht="15.75" customHeight="1" x14ac:dyDescent="0.25">
      <c r="A257" s="130"/>
      <c r="B257" s="228"/>
      <c r="C257" s="130"/>
      <c r="D257" s="107" t="s">
        <v>717</v>
      </c>
      <c r="E257" s="130"/>
      <c r="F257" s="130"/>
      <c r="G257" s="20">
        <f>270-70</f>
        <v>200</v>
      </c>
      <c r="H257" s="20">
        <v>192.67</v>
      </c>
      <c r="I257" s="76">
        <v>192.67</v>
      </c>
      <c r="J257" s="98"/>
      <c r="K257" s="14"/>
      <c r="L257" s="14"/>
      <c r="M257" s="14"/>
    </row>
    <row r="258" spans="1:13" ht="83.25" customHeight="1" x14ac:dyDescent="0.25">
      <c r="A258" s="118" t="s">
        <v>725</v>
      </c>
      <c r="B258" s="228"/>
      <c r="C258" s="130" t="s">
        <v>2055</v>
      </c>
      <c r="D258" s="107" t="s">
        <v>1674</v>
      </c>
      <c r="E258" s="107" t="s">
        <v>2054</v>
      </c>
      <c r="F258" s="107" t="s">
        <v>156</v>
      </c>
      <c r="G258" s="20">
        <v>30</v>
      </c>
      <c r="H258" s="20">
        <v>30</v>
      </c>
      <c r="I258" s="76">
        <v>30</v>
      </c>
      <c r="J258" s="98"/>
      <c r="K258" s="14"/>
      <c r="L258" s="14"/>
      <c r="M258" s="14"/>
    </row>
    <row r="259" spans="1:13" ht="60" x14ac:dyDescent="0.25">
      <c r="A259" s="130"/>
      <c r="B259" s="228"/>
      <c r="C259" s="130"/>
      <c r="D259" s="107" t="s">
        <v>713</v>
      </c>
      <c r="E259" s="107" t="s">
        <v>16</v>
      </c>
      <c r="F259" s="107" t="s">
        <v>6</v>
      </c>
      <c r="G259" s="20">
        <f>650.1+3313.15-435</f>
        <v>3528.25</v>
      </c>
      <c r="H259" s="20">
        <v>650.1</v>
      </c>
      <c r="I259" s="76">
        <v>650.1</v>
      </c>
      <c r="J259" s="98"/>
      <c r="K259" s="14"/>
      <c r="L259" s="14"/>
      <c r="M259" s="14"/>
    </row>
    <row r="260" spans="1:13" ht="60" customHeight="1" x14ac:dyDescent="0.25">
      <c r="A260" s="118" t="s">
        <v>726</v>
      </c>
      <c r="B260" s="228"/>
      <c r="C260" s="130" t="s">
        <v>2057</v>
      </c>
      <c r="D260" s="5" t="s">
        <v>1675</v>
      </c>
      <c r="E260" s="107" t="s">
        <v>2056</v>
      </c>
      <c r="F260" s="107" t="s">
        <v>154</v>
      </c>
      <c r="G260" s="20">
        <v>5742</v>
      </c>
      <c r="H260" s="20">
        <v>5742</v>
      </c>
      <c r="I260" s="76">
        <v>5742</v>
      </c>
      <c r="J260" s="98"/>
      <c r="K260" s="14"/>
      <c r="L260" s="14"/>
      <c r="M260" s="14"/>
    </row>
    <row r="261" spans="1:13" ht="60" x14ac:dyDescent="0.25">
      <c r="A261" s="130"/>
      <c r="B261" s="228"/>
      <c r="C261" s="130"/>
      <c r="D261" s="107" t="s">
        <v>713</v>
      </c>
      <c r="E261" s="107" t="s">
        <v>16</v>
      </c>
      <c r="F261" s="107" t="s">
        <v>6</v>
      </c>
      <c r="G261" s="20">
        <f>4229.44+3313.15-435</f>
        <v>7107.59</v>
      </c>
      <c r="H261" s="20">
        <v>4229.4399999999996</v>
      </c>
      <c r="I261" s="76">
        <v>4229.4399999999996</v>
      </c>
      <c r="J261" s="98"/>
      <c r="K261" s="14"/>
      <c r="L261" s="14"/>
      <c r="M261" s="14"/>
    </row>
    <row r="262" spans="1:13" ht="112.5" customHeight="1" x14ac:dyDescent="0.25">
      <c r="A262" s="118" t="s">
        <v>727</v>
      </c>
      <c r="B262" s="228"/>
      <c r="C262" s="130" t="s">
        <v>1565</v>
      </c>
      <c r="D262" s="107" t="s">
        <v>1676</v>
      </c>
      <c r="E262" s="107" t="s">
        <v>2058</v>
      </c>
      <c r="F262" s="107" t="s">
        <v>85</v>
      </c>
      <c r="G262" s="265">
        <v>99</v>
      </c>
      <c r="H262" s="265">
        <v>99</v>
      </c>
      <c r="I262" s="266">
        <v>99</v>
      </c>
      <c r="J262" s="98"/>
      <c r="K262" s="14"/>
      <c r="L262" s="14"/>
      <c r="M262" s="14"/>
    </row>
    <row r="263" spans="1:13" ht="60" x14ac:dyDescent="0.25">
      <c r="A263" s="130"/>
      <c r="B263" s="228"/>
      <c r="C263" s="130"/>
      <c r="D263" s="107" t="s">
        <v>713</v>
      </c>
      <c r="E263" s="107" t="s">
        <v>16</v>
      </c>
      <c r="F263" s="107" t="s">
        <v>6</v>
      </c>
      <c r="G263" s="20">
        <f>1543.81+3313.15-435</f>
        <v>4421.96</v>
      </c>
      <c r="H263" s="20">
        <v>1543.81</v>
      </c>
      <c r="I263" s="76">
        <v>1543.81</v>
      </c>
      <c r="J263" s="98"/>
      <c r="K263" s="14"/>
      <c r="L263" s="14"/>
      <c r="M263" s="14"/>
    </row>
    <row r="264" spans="1:13" ht="60" x14ac:dyDescent="0.25">
      <c r="A264" s="118" t="s">
        <v>728</v>
      </c>
      <c r="B264" s="228"/>
      <c r="C264" s="130" t="s">
        <v>1562</v>
      </c>
      <c r="D264" s="107" t="s">
        <v>1677</v>
      </c>
      <c r="E264" s="107" t="s">
        <v>1563</v>
      </c>
      <c r="F264" s="107" t="s">
        <v>85</v>
      </c>
      <c r="G264" s="265">
        <v>86</v>
      </c>
      <c r="H264" s="265">
        <v>86</v>
      </c>
      <c r="I264" s="266">
        <v>86</v>
      </c>
      <c r="J264" s="98"/>
      <c r="K264" s="14"/>
      <c r="L264" s="14"/>
      <c r="M264" s="14"/>
    </row>
    <row r="265" spans="1:13" ht="60" x14ac:dyDescent="0.25">
      <c r="A265" s="130"/>
      <c r="B265" s="228"/>
      <c r="C265" s="130"/>
      <c r="D265" s="107" t="s">
        <v>713</v>
      </c>
      <c r="E265" s="107" t="s">
        <v>16</v>
      </c>
      <c r="F265" s="107" t="s">
        <v>6</v>
      </c>
      <c r="G265" s="20">
        <f>1830.5+3313.15-435</f>
        <v>4708.6499999999996</v>
      </c>
      <c r="H265" s="20">
        <v>1830.5</v>
      </c>
      <c r="I265" s="76">
        <v>1830.51</v>
      </c>
      <c r="J265" s="98"/>
      <c r="K265" s="14"/>
      <c r="L265" s="14"/>
      <c r="M265" s="14"/>
    </row>
    <row r="266" spans="1:13" ht="120" x14ac:dyDescent="0.25">
      <c r="A266" s="118" t="s">
        <v>729</v>
      </c>
      <c r="B266" s="228"/>
      <c r="C266" s="130" t="s">
        <v>1565</v>
      </c>
      <c r="D266" s="107" t="s">
        <v>1678</v>
      </c>
      <c r="E266" s="107" t="s">
        <v>1564</v>
      </c>
      <c r="F266" s="107" t="s">
        <v>85</v>
      </c>
      <c r="G266" s="265">
        <v>143</v>
      </c>
      <c r="H266" s="265">
        <v>143</v>
      </c>
      <c r="I266" s="266">
        <v>143</v>
      </c>
      <c r="J266" s="98"/>
      <c r="K266" s="14"/>
      <c r="L266" s="14"/>
      <c r="M266" s="14"/>
    </row>
    <row r="267" spans="1:13" ht="60" x14ac:dyDescent="0.25">
      <c r="A267" s="130"/>
      <c r="B267" s="228"/>
      <c r="C267" s="130"/>
      <c r="D267" s="107" t="s">
        <v>713</v>
      </c>
      <c r="E267" s="107" t="s">
        <v>16</v>
      </c>
      <c r="F267" s="107" t="s">
        <v>6</v>
      </c>
      <c r="G267" s="20">
        <f>602.37+3313.15-435</f>
        <v>3480.52</v>
      </c>
      <c r="H267" s="20">
        <f>2602.73-390.52</f>
        <v>2212.21</v>
      </c>
      <c r="I267" s="76">
        <v>602.78</v>
      </c>
      <c r="J267" s="98"/>
      <c r="K267" s="14"/>
      <c r="L267" s="14"/>
      <c r="M267" s="14"/>
    </row>
    <row r="268" spans="1:13" ht="75" customHeight="1" x14ac:dyDescent="0.25">
      <c r="A268" s="130" t="s">
        <v>730</v>
      </c>
      <c r="B268" s="228"/>
      <c r="C268" s="130" t="s">
        <v>1567</v>
      </c>
      <c r="D268" s="107" t="s">
        <v>1679</v>
      </c>
      <c r="E268" s="107" t="s">
        <v>1566</v>
      </c>
      <c r="F268" s="107" t="s">
        <v>85</v>
      </c>
      <c r="G268" s="265">
        <v>67</v>
      </c>
      <c r="H268" s="265">
        <v>67</v>
      </c>
      <c r="I268" s="266">
        <v>67</v>
      </c>
      <c r="J268" s="98"/>
      <c r="K268" s="14"/>
      <c r="L268" s="14"/>
      <c r="M268" s="14"/>
    </row>
    <row r="269" spans="1:13" ht="60" x14ac:dyDescent="0.25">
      <c r="A269" s="130"/>
      <c r="B269" s="228"/>
      <c r="C269" s="130"/>
      <c r="D269" s="107" t="s">
        <v>713</v>
      </c>
      <c r="E269" s="107" t="s">
        <v>16</v>
      </c>
      <c r="F269" s="107" t="s">
        <v>6</v>
      </c>
      <c r="G269" s="20">
        <f>799.95+3313.15-435</f>
        <v>3678.1000000000004</v>
      </c>
      <c r="H269" s="20">
        <v>799.95</v>
      </c>
      <c r="I269" s="76">
        <v>799.95</v>
      </c>
      <c r="J269" s="98"/>
      <c r="K269" s="14"/>
      <c r="L269" s="14"/>
      <c r="M269" s="14"/>
    </row>
    <row r="270" spans="1:13" ht="75" x14ac:dyDescent="0.25">
      <c r="A270" s="130" t="s">
        <v>731</v>
      </c>
      <c r="B270" s="228"/>
      <c r="C270" s="130" t="s">
        <v>1567</v>
      </c>
      <c r="D270" s="107" t="s">
        <v>1680</v>
      </c>
      <c r="E270" s="107" t="s">
        <v>1568</v>
      </c>
      <c r="F270" s="107" t="s">
        <v>85</v>
      </c>
      <c r="G270" s="265">
        <v>776</v>
      </c>
      <c r="H270" s="265">
        <v>776</v>
      </c>
      <c r="I270" s="266">
        <v>776</v>
      </c>
      <c r="J270" s="98"/>
      <c r="K270" s="14"/>
      <c r="L270" s="14"/>
      <c r="M270" s="14"/>
    </row>
    <row r="271" spans="1:13" ht="60" x14ac:dyDescent="0.25">
      <c r="A271" s="130"/>
      <c r="B271" s="228"/>
      <c r="C271" s="130"/>
      <c r="D271" s="107" t="s">
        <v>713</v>
      </c>
      <c r="E271" s="107" t="s">
        <v>16</v>
      </c>
      <c r="F271" s="107" t="s">
        <v>6</v>
      </c>
      <c r="G271" s="20">
        <f>57.5+3313.15-435</f>
        <v>2935.65</v>
      </c>
      <c r="H271" s="20">
        <v>57.5</v>
      </c>
      <c r="I271" s="76">
        <v>57.5</v>
      </c>
      <c r="J271" s="98"/>
      <c r="K271" s="14"/>
      <c r="L271" s="14"/>
      <c r="M271" s="14"/>
    </row>
    <row r="272" spans="1:13" ht="75" x14ac:dyDescent="0.25">
      <c r="A272" s="118" t="s">
        <v>732</v>
      </c>
      <c r="B272" s="228"/>
      <c r="C272" s="130" t="s">
        <v>1565</v>
      </c>
      <c r="D272" s="107" t="s">
        <v>1679</v>
      </c>
      <c r="E272" s="107" t="s">
        <v>1569</v>
      </c>
      <c r="F272" s="107" t="s">
        <v>85</v>
      </c>
      <c r="G272" s="265">
        <v>150</v>
      </c>
      <c r="H272" s="265">
        <v>150</v>
      </c>
      <c r="I272" s="266">
        <v>150</v>
      </c>
      <c r="J272" s="98"/>
      <c r="K272" s="14"/>
      <c r="L272" s="14"/>
      <c r="M272" s="14"/>
    </row>
    <row r="273" spans="1:13" ht="60" x14ac:dyDescent="0.25">
      <c r="A273" s="118"/>
      <c r="B273" s="228"/>
      <c r="C273" s="130"/>
      <c r="D273" s="107" t="s">
        <v>713</v>
      </c>
      <c r="E273" s="107" t="s">
        <v>16</v>
      </c>
      <c r="F273" s="107" t="s">
        <v>6</v>
      </c>
      <c r="G273" s="20">
        <f>1296.75+3313.15-435</f>
        <v>4174.8999999999996</v>
      </c>
      <c r="H273" s="20">
        <v>1296.75</v>
      </c>
      <c r="I273" s="76">
        <v>1296.75</v>
      </c>
      <c r="J273" s="98"/>
      <c r="K273" s="14"/>
      <c r="L273" s="14"/>
      <c r="M273" s="14"/>
    </row>
    <row r="274" spans="1:13" ht="75" x14ac:dyDescent="0.25">
      <c r="A274" s="130" t="s">
        <v>733</v>
      </c>
      <c r="B274" s="228"/>
      <c r="C274" s="130" t="s">
        <v>1565</v>
      </c>
      <c r="D274" s="107" t="s">
        <v>1679</v>
      </c>
      <c r="E274" s="107" t="s">
        <v>1570</v>
      </c>
      <c r="F274" s="107" t="s">
        <v>85</v>
      </c>
      <c r="G274" s="265">
        <v>3</v>
      </c>
      <c r="H274" s="265">
        <v>3</v>
      </c>
      <c r="I274" s="266">
        <v>3</v>
      </c>
      <c r="J274" s="98"/>
      <c r="K274" s="14"/>
      <c r="L274" s="14"/>
      <c r="M274" s="14"/>
    </row>
    <row r="275" spans="1:13" ht="60" x14ac:dyDescent="0.25">
      <c r="A275" s="130"/>
      <c r="B275" s="228"/>
      <c r="C275" s="130"/>
      <c r="D275" s="107" t="s">
        <v>713</v>
      </c>
      <c r="E275" s="107" t="s">
        <v>16</v>
      </c>
      <c r="F275" s="107" t="s">
        <v>6</v>
      </c>
      <c r="G275" s="20">
        <f>58.62+3313.15-435</f>
        <v>2936.77</v>
      </c>
      <c r="H275" s="20">
        <v>58.62</v>
      </c>
      <c r="I275" s="76">
        <v>58.62</v>
      </c>
      <c r="J275" s="98"/>
      <c r="K275" s="14"/>
      <c r="L275" s="14"/>
      <c r="M275" s="14"/>
    </row>
    <row r="276" spans="1:13" ht="75" x14ac:dyDescent="0.25">
      <c r="A276" s="118" t="s">
        <v>734</v>
      </c>
      <c r="B276" s="228"/>
      <c r="C276" s="130" t="s">
        <v>1565</v>
      </c>
      <c r="D276" s="107" t="s">
        <v>1679</v>
      </c>
      <c r="E276" s="107" t="s">
        <v>1571</v>
      </c>
      <c r="F276" s="107" t="s">
        <v>85</v>
      </c>
      <c r="G276" s="55">
        <v>100000</v>
      </c>
      <c r="H276" s="55">
        <v>100000</v>
      </c>
      <c r="I276" s="82">
        <v>100000</v>
      </c>
      <c r="J276" s="98"/>
      <c r="K276" s="14"/>
      <c r="L276" s="14"/>
      <c r="M276" s="14"/>
    </row>
    <row r="277" spans="1:13" ht="60" x14ac:dyDescent="0.25">
      <c r="A277" s="117"/>
      <c r="B277" s="228"/>
      <c r="C277" s="130"/>
      <c r="D277" s="107" t="s">
        <v>713</v>
      </c>
      <c r="E277" s="107" t="s">
        <v>16</v>
      </c>
      <c r="F277" s="107" t="s">
        <v>6</v>
      </c>
      <c r="G277" s="20">
        <f>2367+3313.15-329.82</f>
        <v>5350.33</v>
      </c>
      <c r="H277" s="20">
        <v>2367</v>
      </c>
      <c r="I277" s="76">
        <v>2367</v>
      </c>
      <c r="J277" s="98"/>
      <c r="K277" s="14"/>
      <c r="L277" s="14"/>
      <c r="M277" s="14"/>
    </row>
    <row r="278" spans="1:13" ht="75" customHeight="1" x14ac:dyDescent="0.25">
      <c r="A278" s="118" t="s">
        <v>735</v>
      </c>
      <c r="B278" s="228"/>
      <c r="C278" s="130" t="s">
        <v>1572</v>
      </c>
      <c r="D278" s="107" t="s">
        <v>1681</v>
      </c>
      <c r="E278" s="107" t="s">
        <v>1573</v>
      </c>
      <c r="F278" s="107" t="s">
        <v>186</v>
      </c>
      <c r="G278" s="110">
        <v>9481457</v>
      </c>
      <c r="H278" s="110">
        <v>9481457</v>
      </c>
      <c r="I278" s="80">
        <v>9481457</v>
      </c>
      <c r="J278" s="98"/>
      <c r="K278" s="14"/>
      <c r="L278" s="14"/>
      <c r="M278" s="14"/>
    </row>
    <row r="279" spans="1:13" ht="43.5" customHeight="1" x14ac:dyDescent="0.25">
      <c r="A279" s="130"/>
      <c r="B279" s="228"/>
      <c r="C279" s="130"/>
      <c r="D279" s="107" t="s">
        <v>716</v>
      </c>
      <c r="E279" s="130" t="s">
        <v>16</v>
      </c>
      <c r="F279" s="130" t="s">
        <v>6</v>
      </c>
      <c r="G279" s="20">
        <v>68000</v>
      </c>
      <c r="H279" s="20">
        <v>120709.3</v>
      </c>
      <c r="I279" s="76">
        <v>120709.3</v>
      </c>
      <c r="J279" s="98"/>
      <c r="K279" s="14"/>
      <c r="L279" s="14"/>
      <c r="M279" s="14"/>
    </row>
    <row r="280" spans="1:13" ht="17.25" customHeight="1" x14ac:dyDescent="0.25">
      <c r="A280" s="130"/>
      <c r="B280" s="228"/>
      <c r="C280" s="130"/>
      <c r="D280" s="107" t="s">
        <v>718</v>
      </c>
      <c r="E280" s="130"/>
      <c r="F280" s="130"/>
      <c r="G280" s="20">
        <v>0</v>
      </c>
      <c r="H280" s="20">
        <v>33870</v>
      </c>
      <c r="I280" s="76">
        <v>22413.85</v>
      </c>
      <c r="J280" s="98"/>
      <c r="K280" s="14"/>
      <c r="L280" s="14"/>
      <c r="M280" s="14"/>
    </row>
    <row r="281" spans="1:13" ht="19.5" customHeight="1" x14ac:dyDescent="0.25">
      <c r="A281" s="130"/>
      <c r="B281" s="228"/>
      <c r="C281" s="130"/>
      <c r="D281" s="107" t="s">
        <v>717</v>
      </c>
      <c r="E281" s="130"/>
      <c r="F281" s="130"/>
      <c r="G281" s="20">
        <v>40000</v>
      </c>
      <c r="H281" s="20">
        <v>201927.35</v>
      </c>
      <c r="I281" s="76">
        <v>201927.35</v>
      </c>
      <c r="J281" s="98"/>
      <c r="K281" s="14"/>
      <c r="L281" s="14"/>
      <c r="M281" s="14"/>
    </row>
    <row r="282" spans="1:13" ht="19.5" customHeight="1" x14ac:dyDescent="0.25">
      <c r="A282" s="130"/>
      <c r="B282" s="228"/>
      <c r="C282" s="130"/>
      <c r="D282" s="107" t="s">
        <v>719</v>
      </c>
      <c r="E282" s="130"/>
      <c r="F282" s="130"/>
      <c r="G282" s="20">
        <v>0</v>
      </c>
      <c r="H282" s="20">
        <v>138550.29999999999</v>
      </c>
      <c r="I282" s="76">
        <v>8656.15</v>
      </c>
      <c r="J282" s="98"/>
      <c r="K282" s="14"/>
      <c r="L282" s="14"/>
      <c r="M282" s="14"/>
    </row>
    <row r="283" spans="1:13" ht="90" x14ac:dyDescent="0.25">
      <c r="A283" s="117" t="s">
        <v>736</v>
      </c>
      <c r="B283" s="228"/>
      <c r="C283" s="130" t="s">
        <v>1575</v>
      </c>
      <c r="D283" s="107" t="s">
        <v>1682</v>
      </c>
      <c r="E283" s="107" t="s">
        <v>1574</v>
      </c>
      <c r="F283" s="107" t="s">
        <v>157</v>
      </c>
      <c r="G283" s="20">
        <v>1820838</v>
      </c>
      <c r="H283" s="20">
        <v>1820838</v>
      </c>
      <c r="I283" s="76">
        <v>1820838</v>
      </c>
      <c r="J283" s="98"/>
      <c r="K283" s="14"/>
      <c r="L283" s="14"/>
      <c r="M283" s="14"/>
    </row>
    <row r="284" spans="1:13" ht="15" customHeight="1" x14ac:dyDescent="0.25">
      <c r="A284" s="116"/>
      <c r="B284" s="228"/>
      <c r="C284" s="130"/>
      <c r="D284" s="130" t="s">
        <v>714</v>
      </c>
      <c r="E284" s="130" t="s">
        <v>16</v>
      </c>
      <c r="F284" s="130" t="s">
        <v>6</v>
      </c>
      <c r="G284" s="153">
        <v>6919.8</v>
      </c>
      <c r="H284" s="153">
        <v>6919.18</v>
      </c>
      <c r="I284" s="267">
        <v>6919.18</v>
      </c>
      <c r="J284" s="98"/>
      <c r="K284" s="14"/>
      <c r="L284" s="14"/>
      <c r="M284" s="14"/>
    </row>
    <row r="285" spans="1:13" ht="42" customHeight="1" x14ac:dyDescent="0.25">
      <c r="A285" s="130"/>
      <c r="B285" s="228"/>
      <c r="C285" s="130"/>
      <c r="D285" s="130"/>
      <c r="E285" s="130"/>
      <c r="F285" s="130"/>
      <c r="G285" s="153"/>
      <c r="H285" s="153"/>
      <c r="I285" s="267"/>
      <c r="J285" s="98"/>
      <c r="K285" s="14"/>
      <c r="L285" s="14"/>
      <c r="M285" s="14"/>
    </row>
    <row r="286" spans="1:13" ht="60" x14ac:dyDescent="0.25">
      <c r="A286" s="116" t="s">
        <v>737</v>
      </c>
      <c r="B286" s="228"/>
      <c r="C286" s="116" t="s">
        <v>1565</v>
      </c>
      <c r="D286" s="107" t="s">
        <v>1682</v>
      </c>
      <c r="E286" s="107" t="s">
        <v>1576</v>
      </c>
      <c r="F286" s="107" t="s">
        <v>158</v>
      </c>
      <c r="G286" s="20">
        <v>18197728</v>
      </c>
      <c r="H286" s="20">
        <v>18197728</v>
      </c>
      <c r="I286" s="76">
        <v>18197728</v>
      </c>
      <c r="J286" s="98"/>
      <c r="K286" s="14"/>
      <c r="L286" s="14"/>
      <c r="M286" s="14"/>
    </row>
    <row r="287" spans="1:13" ht="47.25" customHeight="1" x14ac:dyDescent="0.25">
      <c r="A287" s="118"/>
      <c r="B287" s="228"/>
      <c r="C287" s="118"/>
      <c r="D287" s="107" t="s">
        <v>715</v>
      </c>
      <c r="E287" s="116" t="s">
        <v>16</v>
      </c>
      <c r="F287" s="116" t="s">
        <v>159</v>
      </c>
      <c r="G287" s="20">
        <v>301000.90000000002</v>
      </c>
      <c r="H287" s="20">
        <v>280000</v>
      </c>
      <c r="I287" s="76">
        <v>280000</v>
      </c>
      <c r="J287" s="98"/>
      <c r="K287" s="14"/>
      <c r="L287" s="14"/>
      <c r="M287" s="14"/>
    </row>
    <row r="288" spans="1:13" ht="14.25" customHeight="1" x14ac:dyDescent="0.25">
      <c r="A288" s="118"/>
      <c r="B288" s="228"/>
      <c r="C288" s="118"/>
      <c r="D288" s="107" t="s">
        <v>718</v>
      </c>
      <c r="E288" s="118"/>
      <c r="F288" s="118"/>
      <c r="G288" s="20">
        <v>0</v>
      </c>
      <c r="H288" s="20">
        <v>67693.399999999994</v>
      </c>
      <c r="I288" s="76">
        <v>51074</v>
      </c>
      <c r="J288" s="98"/>
      <c r="K288" s="14"/>
      <c r="L288" s="14"/>
      <c r="M288" s="14"/>
    </row>
    <row r="289" spans="1:13" s="68" customFormat="1" ht="14.25" customHeight="1" x14ac:dyDescent="0.25">
      <c r="A289" s="118"/>
      <c r="B289" s="228"/>
      <c r="C289" s="118"/>
      <c r="D289" s="107" t="s">
        <v>1577</v>
      </c>
      <c r="E289" s="118"/>
      <c r="F289" s="118"/>
      <c r="G289" s="110">
        <v>6900</v>
      </c>
      <c r="H289" s="110">
        <v>9034.2999999999993</v>
      </c>
      <c r="I289" s="80">
        <v>9034.2999999999993</v>
      </c>
      <c r="J289" s="98"/>
      <c r="K289" s="67"/>
      <c r="L289" s="67"/>
      <c r="M289" s="67"/>
    </row>
    <row r="290" spans="1:13" s="68" customFormat="1" ht="15.75" customHeight="1" x14ac:dyDescent="0.25">
      <c r="A290" s="118"/>
      <c r="B290" s="228"/>
      <c r="C290" s="118"/>
      <c r="D290" s="107" t="s">
        <v>739</v>
      </c>
      <c r="E290" s="118"/>
      <c r="F290" s="118"/>
      <c r="G290" s="110">
        <v>1400</v>
      </c>
      <c r="H290" s="110">
        <v>1536</v>
      </c>
      <c r="I290" s="80">
        <v>1536</v>
      </c>
      <c r="J290" s="98"/>
      <c r="K290" s="67"/>
      <c r="L290" s="67"/>
      <c r="M290" s="67"/>
    </row>
    <row r="291" spans="1:13" s="68" customFormat="1" ht="15.75" customHeight="1" x14ac:dyDescent="0.25">
      <c r="A291" s="117"/>
      <c r="B291" s="228"/>
      <c r="C291" s="117"/>
      <c r="D291" s="107" t="s">
        <v>2082</v>
      </c>
      <c r="E291" s="117"/>
      <c r="F291" s="117"/>
      <c r="G291" s="110">
        <v>4198.2</v>
      </c>
      <c r="H291" s="110">
        <v>4198.2</v>
      </c>
      <c r="I291" s="80">
        <v>5571.41</v>
      </c>
      <c r="J291" s="98"/>
      <c r="K291" s="67"/>
      <c r="L291" s="67"/>
      <c r="M291" s="67"/>
    </row>
    <row r="292" spans="1:13" ht="60" x14ac:dyDescent="0.25">
      <c r="A292" s="116" t="s">
        <v>738</v>
      </c>
      <c r="B292" s="228"/>
      <c r="C292" s="268" t="s">
        <v>160</v>
      </c>
      <c r="D292" s="5" t="s">
        <v>1683</v>
      </c>
      <c r="E292" s="5" t="s">
        <v>1561</v>
      </c>
      <c r="F292" s="5" t="s">
        <v>161</v>
      </c>
      <c r="G292" s="20">
        <f>-H292</f>
        <v>0</v>
      </c>
      <c r="H292" s="20">
        <f>-I292</f>
        <v>0</v>
      </c>
      <c r="I292" s="76">
        <f>-J292</f>
        <v>0</v>
      </c>
      <c r="J292" s="98"/>
      <c r="K292" s="14"/>
      <c r="L292" s="14"/>
      <c r="M292" s="14"/>
    </row>
    <row r="293" spans="1:13" ht="65.25" customHeight="1" x14ac:dyDescent="0.25">
      <c r="A293" s="130"/>
      <c r="B293" s="228"/>
      <c r="C293" s="268"/>
      <c r="D293" s="5" t="s">
        <v>740</v>
      </c>
      <c r="E293" s="5" t="s">
        <v>16</v>
      </c>
      <c r="F293" s="5" t="s">
        <v>6</v>
      </c>
      <c r="G293" s="20">
        <v>183127.2</v>
      </c>
      <c r="H293" s="20">
        <v>183127.2</v>
      </c>
      <c r="I293" s="76">
        <v>194661.43</v>
      </c>
      <c r="J293" s="98"/>
      <c r="K293" s="14"/>
      <c r="L293" s="14"/>
      <c r="M293" s="14"/>
    </row>
    <row r="294" spans="1:13" ht="120" x14ac:dyDescent="0.25">
      <c r="A294" s="130" t="s">
        <v>2083</v>
      </c>
      <c r="B294" s="228"/>
      <c r="C294" s="130" t="s">
        <v>2059</v>
      </c>
      <c r="D294" s="107" t="s">
        <v>1684</v>
      </c>
      <c r="E294" s="107" t="s">
        <v>2061</v>
      </c>
      <c r="F294" s="107" t="s">
        <v>186</v>
      </c>
      <c r="G294" s="20">
        <v>45719</v>
      </c>
      <c r="H294" s="20">
        <v>45719</v>
      </c>
      <c r="I294" s="76">
        <v>45719</v>
      </c>
      <c r="J294" s="98"/>
      <c r="K294" s="14"/>
      <c r="L294" s="14"/>
      <c r="M294" s="14"/>
    </row>
    <row r="295" spans="1:13" ht="61.5" customHeight="1" x14ac:dyDescent="0.25">
      <c r="A295" s="130"/>
      <c r="B295" s="228"/>
      <c r="C295" s="130"/>
      <c r="D295" s="107" t="s">
        <v>741</v>
      </c>
      <c r="E295" s="107" t="s">
        <v>16</v>
      </c>
      <c r="F295" s="107" t="s">
        <v>6</v>
      </c>
      <c r="G295" s="20">
        <v>6274.9</v>
      </c>
      <c r="H295" s="20">
        <v>13936.49</v>
      </c>
      <c r="I295" s="76">
        <v>13936.49</v>
      </c>
      <c r="J295" s="98"/>
      <c r="K295" s="14"/>
      <c r="L295" s="14"/>
      <c r="M295" s="14"/>
    </row>
    <row r="296" spans="1:13" ht="120" x14ac:dyDescent="0.25">
      <c r="A296" s="116" t="s">
        <v>2084</v>
      </c>
      <c r="B296" s="228"/>
      <c r="C296" s="130" t="s">
        <v>2059</v>
      </c>
      <c r="D296" s="107" t="s">
        <v>1685</v>
      </c>
      <c r="E296" s="107" t="s">
        <v>2060</v>
      </c>
      <c r="F296" s="107" t="s">
        <v>157</v>
      </c>
      <c r="G296" s="20">
        <v>18281</v>
      </c>
      <c r="H296" s="20">
        <v>18281</v>
      </c>
      <c r="I296" s="76">
        <v>18281</v>
      </c>
      <c r="J296" s="98"/>
      <c r="K296" s="14"/>
      <c r="L296" s="14"/>
      <c r="M296" s="14"/>
    </row>
    <row r="297" spans="1:13" ht="47.25" customHeight="1" x14ac:dyDescent="0.25">
      <c r="A297" s="118"/>
      <c r="B297" s="228"/>
      <c r="C297" s="130"/>
      <c r="D297" s="107" t="s">
        <v>741</v>
      </c>
      <c r="E297" s="130" t="s">
        <v>16</v>
      </c>
      <c r="F297" s="130" t="s">
        <v>6</v>
      </c>
      <c r="G297" s="20">
        <v>2295.9</v>
      </c>
      <c r="H297" s="20">
        <v>4093.11</v>
      </c>
      <c r="I297" s="76">
        <v>4093.11</v>
      </c>
      <c r="J297" s="98"/>
      <c r="K297" s="14"/>
      <c r="L297" s="14"/>
      <c r="M297" s="14"/>
    </row>
    <row r="298" spans="1:13" s="68" customFormat="1" x14ac:dyDescent="0.25">
      <c r="A298" s="117"/>
      <c r="B298" s="228"/>
      <c r="C298" s="130"/>
      <c r="D298" s="107" t="s">
        <v>2062</v>
      </c>
      <c r="E298" s="130"/>
      <c r="F298" s="130"/>
      <c r="G298" s="20">
        <v>195.3</v>
      </c>
      <c r="H298" s="20">
        <v>419.3</v>
      </c>
      <c r="I298" s="76">
        <v>419.3</v>
      </c>
      <c r="J298" s="98"/>
      <c r="K298" s="67"/>
      <c r="L298" s="67"/>
      <c r="M298" s="67"/>
    </row>
    <row r="299" spans="1:13" ht="75" x14ac:dyDescent="0.25">
      <c r="A299" s="130" t="s">
        <v>2085</v>
      </c>
      <c r="B299" s="228"/>
      <c r="C299" s="130" t="s">
        <v>2064</v>
      </c>
      <c r="D299" s="107" t="s">
        <v>1686</v>
      </c>
      <c r="E299" s="107" t="s">
        <v>2063</v>
      </c>
      <c r="F299" s="107" t="s">
        <v>163</v>
      </c>
      <c r="G299" s="72" t="s">
        <v>745</v>
      </c>
      <c r="H299" s="72" t="s">
        <v>746</v>
      </c>
      <c r="I299" s="269" t="s">
        <v>745</v>
      </c>
      <c r="J299" s="98"/>
      <c r="K299" s="14"/>
      <c r="L299" s="14"/>
      <c r="M299" s="14"/>
    </row>
    <row r="300" spans="1:13" ht="60" x14ac:dyDescent="0.25">
      <c r="A300" s="130"/>
      <c r="B300" s="228"/>
      <c r="C300" s="130"/>
      <c r="D300" s="107" t="s">
        <v>742</v>
      </c>
      <c r="E300" s="107" t="s">
        <v>16</v>
      </c>
      <c r="F300" s="107" t="s">
        <v>6</v>
      </c>
      <c r="G300" s="20">
        <v>404.1</v>
      </c>
      <c r="H300" s="20">
        <f>-I300</f>
        <v>0</v>
      </c>
      <c r="I300" s="76">
        <f>-J300</f>
        <v>0</v>
      </c>
      <c r="J300" s="98"/>
      <c r="K300" s="14"/>
      <c r="L300" s="14"/>
      <c r="M300" s="14"/>
    </row>
    <row r="301" spans="1:13" ht="75" x14ac:dyDescent="0.25">
      <c r="A301" s="116" t="s">
        <v>2086</v>
      </c>
      <c r="B301" s="228"/>
      <c r="C301" s="130" t="s">
        <v>2064</v>
      </c>
      <c r="D301" s="107" t="s">
        <v>1687</v>
      </c>
      <c r="E301" s="107" t="s">
        <v>2065</v>
      </c>
      <c r="F301" s="107" t="s">
        <v>163</v>
      </c>
      <c r="G301" s="72">
        <v>0</v>
      </c>
      <c r="H301" s="72" t="s">
        <v>744</v>
      </c>
      <c r="I301" s="269">
        <f>-J301</f>
        <v>0</v>
      </c>
      <c r="J301" s="98"/>
      <c r="K301" s="14"/>
      <c r="L301" s="14"/>
      <c r="M301" s="14"/>
    </row>
    <row r="302" spans="1:13" ht="44.25" customHeight="1" x14ac:dyDescent="0.25">
      <c r="A302" s="118"/>
      <c r="B302" s="228"/>
      <c r="C302" s="130"/>
      <c r="D302" s="107" t="s">
        <v>742</v>
      </c>
      <c r="E302" s="130" t="s">
        <v>16</v>
      </c>
      <c r="F302" s="130" t="s">
        <v>6</v>
      </c>
      <c r="G302" s="20">
        <v>604.1</v>
      </c>
      <c r="H302" s="20">
        <f>-I302</f>
        <v>0</v>
      </c>
      <c r="I302" s="76">
        <f>-J302</f>
        <v>0</v>
      </c>
      <c r="J302" s="98"/>
      <c r="K302" s="14"/>
      <c r="L302" s="14"/>
      <c r="M302" s="14"/>
    </row>
    <row r="303" spans="1:13" ht="21.75" customHeight="1" x14ac:dyDescent="0.25">
      <c r="A303" s="117"/>
      <c r="B303" s="228"/>
      <c r="C303" s="130"/>
      <c r="D303" s="107" t="s">
        <v>2066</v>
      </c>
      <c r="E303" s="130"/>
      <c r="F303" s="130"/>
      <c r="G303" s="20">
        <v>300</v>
      </c>
      <c r="H303" s="20">
        <v>300</v>
      </c>
      <c r="I303" s="76">
        <v>93.53</v>
      </c>
      <c r="J303" s="98"/>
      <c r="K303" s="14"/>
      <c r="L303" s="14"/>
      <c r="M303" s="14"/>
    </row>
    <row r="304" spans="1:13" ht="75" x14ac:dyDescent="0.25">
      <c r="A304" s="130" t="s">
        <v>2087</v>
      </c>
      <c r="B304" s="228"/>
      <c r="C304" s="130" t="s">
        <v>2064</v>
      </c>
      <c r="D304" s="107" t="s">
        <v>1688</v>
      </c>
      <c r="E304" s="107" t="s">
        <v>2067</v>
      </c>
      <c r="F304" s="270" t="s">
        <v>166</v>
      </c>
      <c r="G304" s="72" t="s">
        <v>747</v>
      </c>
      <c r="H304" s="72" t="s">
        <v>748</v>
      </c>
      <c r="I304" s="269" t="s">
        <v>749</v>
      </c>
      <c r="J304" s="98"/>
      <c r="K304" s="14"/>
      <c r="L304" s="14"/>
      <c r="M304" s="14"/>
    </row>
    <row r="305" spans="1:13" ht="60" x14ac:dyDescent="0.25">
      <c r="A305" s="130"/>
      <c r="B305" s="228"/>
      <c r="C305" s="130"/>
      <c r="D305" s="107" t="s">
        <v>743</v>
      </c>
      <c r="E305" s="107" t="s">
        <v>16</v>
      </c>
      <c r="F305" s="107" t="s">
        <v>6</v>
      </c>
      <c r="G305" s="20">
        <v>15000</v>
      </c>
      <c r="H305" s="20">
        <v>4650.1400000000003</v>
      </c>
      <c r="I305" s="76">
        <f>4650.14-2286.03</f>
        <v>2364.11</v>
      </c>
      <c r="J305" s="98"/>
      <c r="K305" s="14"/>
      <c r="L305" s="14"/>
      <c r="M305" s="14"/>
    </row>
    <row r="306" spans="1:13" ht="90" x14ac:dyDescent="0.25">
      <c r="A306" s="130" t="s">
        <v>2088</v>
      </c>
      <c r="B306" s="228"/>
      <c r="C306" s="130" t="s">
        <v>2069</v>
      </c>
      <c r="D306" s="107" t="s">
        <v>1688</v>
      </c>
      <c r="E306" s="107" t="s">
        <v>2068</v>
      </c>
      <c r="F306" s="107" t="s">
        <v>166</v>
      </c>
      <c r="G306" s="72">
        <v>0</v>
      </c>
      <c r="H306" s="72" t="s">
        <v>533</v>
      </c>
      <c r="I306" s="269">
        <f>-J306</f>
        <v>0</v>
      </c>
      <c r="J306" s="98"/>
      <c r="K306" s="14"/>
      <c r="L306" s="14"/>
      <c r="M306" s="14"/>
    </row>
    <row r="307" spans="1:13" x14ac:dyDescent="0.25">
      <c r="A307" s="130"/>
      <c r="B307" s="228"/>
      <c r="C307" s="130"/>
      <c r="D307" s="130" t="s">
        <v>743</v>
      </c>
      <c r="E307" s="130" t="s">
        <v>16</v>
      </c>
      <c r="F307" s="130" t="s">
        <v>159</v>
      </c>
      <c r="G307" s="153">
        <v>0</v>
      </c>
      <c r="H307" s="153">
        <v>0</v>
      </c>
      <c r="I307" s="271">
        <v>0</v>
      </c>
      <c r="J307" s="98"/>
      <c r="K307" s="14"/>
      <c r="L307" s="14"/>
      <c r="M307" s="14"/>
    </row>
    <row r="308" spans="1:13" ht="43.5" customHeight="1" x14ac:dyDescent="0.25">
      <c r="A308" s="130"/>
      <c r="B308" s="228"/>
      <c r="C308" s="130"/>
      <c r="D308" s="130"/>
      <c r="E308" s="130"/>
      <c r="F308" s="130"/>
      <c r="G308" s="153"/>
      <c r="H308" s="153"/>
      <c r="I308" s="271"/>
      <c r="J308" s="98"/>
      <c r="K308" s="14"/>
      <c r="L308" s="14"/>
      <c r="M308" s="14"/>
    </row>
    <row r="309" spans="1:13" ht="60" x14ac:dyDescent="0.25">
      <c r="A309" s="130" t="s">
        <v>2089</v>
      </c>
      <c r="B309" s="228"/>
      <c r="C309" s="130" t="s">
        <v>1580</v>
      </c>
      <c r="D309" s="107" t="s">
        <v>1689</v>
      </c>
      <c r="E309" s="107" t="s">
        <v>1582</v>
      </c>
      <c r="F309" s="107" t="s">
        <v>186</v>
      </c>
      <c r="G309" s="110">
        <v>705.4</v>
      </c>
      <c r="H309" s="110">
        <v>705.4</v>
      </c>
      <c r="I309" s="80">
        <v>705.4</v>
      </c>
      <c r="J309" s="98"/>
      <c r="K309" s="14"/>
      <c r="L309" s="14"/>
      <c r="M309" s="14"/>
    </row>
    <row r="310" spans="1:13" ht="60" x14ac:dyDescent="0.25">
      <c r="A310" s="130"/>
      <c r="B310" s="228"/>
      <c r="C310" s="130"/>
      <c r="D310" s="107" t="s">
        <v>743</v>
      </c>
      <c r="E310" s="107" t="s">
        <v>16</v>
      </c>
      <c r="F310" s="107" t="s">
        <v>159</v>
      </c>
      <c r="G310" s="110">
        <f>46170.63+1469.63</f>
        <v>47640.259999999995</v>
      </c>
      <c r="H310" s="110">
        <v>1410.8</v>
      </c>
      <c r="I310" s="80">
        <v>1410.8</v>
      </c>
      <c r="J310" s="98"/>
      <c r="K310" s="14"/>
      <c r="L310" s="14"/>
      <c r="M310" s="14"/>
    </row>
    <row r="311" spans="1:13" ht="60" x14ac:dyDescent="0.25">
      <c r="A311" s="130" t="s">
        <v>2090</v>
      </c>
      <c r="B311" s="228"/>
      <c r="C311" s="130" t="s">
        <v>1580</v>
      </c>
      <c r="D311" s="107" t="s">
        <v>1690</v>
      </c>
      <c r="E311" s="107" t="s">
        <v>1581</v>
      </c>
      <c r="F311" s="107" t="s">
        <v>157</v>
      </c>
      <c r="G311" s="110">
        <v>992.1</v>
      </c>
      <c r="H311" s="110">
        <v>963.74</v>
      </c>
      <c r="I311" s="80">
        <v>963.74</v>
      </c>
      <c r="J311" s="98"/>
      <c r="K311" s="14"/>
      <c r="L311" s="14"/>
      <c r="M311" s="14"/>
    </row>
    <row r="312" spans="1:13" ht="60" x14ac:dyDescent="0.25">
      <c r="A312" s="130"/>
      <c r="B312" s="228"/>
      <c r="C312" s="130"/>
      <c r="D312" s="107" t="s">
        <v>743</v>
      </c>
      <c r="E312" s="107" t="s">
        <v>16</v>
      </c>
      <c r="F312" s="107" t="s">
        <v>159</v>
      </c>
      <c r="G312" s="110">
        <f>11304.15</f>
        <v>11304.15</v>
      </c>
      <c r="H312" s="110">
        <v>2592.46</v>
      </c>
      <c r="I312" s="80">
        <v>2592.46</v>
      </c>
      <c r="J312" s="98"/>
      <c r="K312" s="14"/>
      <c r="L312" s="14"/>
      <c r="M312" s="14"/>
    </row>
    <row r="313" spans="1:13" ht="60" x14ac:dyDescent="0.25">
      <c r="A313" s="116" t="s">
        <v>2091</v>
      </c>
      <c r="B313" s="228"/>
      <c r="C313" s="130" t="s">
        <v>1580</v>
      </c>
      <c r="D313" s="107" t="s">
        <v>1691</v>
      </c>
      <c r="E313" s="107" t="s">
        <v>1579</v>
      </c>
      <c r="F313" s="107" t="s">
        <v>157</v>
      </c>
      <c r="G313" s="110">
        <v>42849.3</v>
      </c>
      <c r="H313" s="110">
        <v>16624.3</v>
      </c>
      <c r="I313" s="80">
        <v>16624.3</v>
      </c>
      <c r="J313" s="98"/>
      <c r="K313" s="14"/>
      <c r="L313" s="14"/>
      <c r="M313" s="14"/>
    </row>
    <row r="314" spans="1:13" ht="48" customHeight="1" x14ac:dyDescent="0.25">
      <c r="A314" s="118"/>
      <c r="B314" s="228"/>
      <c r="C314" s="130"/>
      <c r="D314" s="107" t="s">
        <v>743</v>
      </c>
      <c r="E314" s="130" t="s">
        <v>16</v>
      </c>
      <c r="F314" s="130" t="s">
        <v>159</v>
      </c>
      <c r="G314" s="110">
        <v>53843.29</v>
      </c>
      <c r="H314" s="110">
        <v>27640.799999999999</v>
      </c>
      <c r="I314" s="80">
        <v>27640.799999999999</v>
      </c>
      <c r="J314" s="98"/>
      <c r="K314" s="14"/>
      <c r="L314" s="14"/>
      <c r="M314" s="14"/>
    </row>
    <row r="315" spans="1:13" x14ac:dyDescent="0.25">
      <c r="A315" s="118"/>
      <c r="B315" s="228"/>
      <c r="C315" s="130"/>
      <c r="D315" s="107" t="s">
        <v>1578</v>
      </c>
      <c r="E315" s="130"/>
      <c r="F315" s="130"/>
      <c r="G315" s="110">
        <v>1509.9</v>
      </c>
      <c r="H315" s="110">
        <v>1949.9</v>
      </c>
      <c r="I315" s="80">
        <v>2156.37</v>
      </c>
      <c r="J315" s="98"/>
      <c r="K315" s="14"/>
      <c r="L315" s="14"/>
      <c r="M315" s="14"/>
    </row>
    <row r="316" spans="1:13" x14ac:dyDescent="0.25">
      <c r="A316" s="118"/>
      <c r="B316" s="228"/>
      <c r="C316" s="130"/>
      <c r="D316" s="5" t="s">
        <v>2080</v>
      </c>
      <c r="E316" s="130"/>
      <c r="F316" s="130"/>
      <c r="G316" s="20">
        <v>203.8</v>
      </c>
      <c r="H316" s="20">
        <v>0</v>
      </c>
      <c r="I316" s="76">
        <v>0</v>
      </c>
      <c r="J316" s="98"/>
      <c r="K316" s="14"/>
      <c r="L316" s="14"/>
      <c r="M316" s="14"/>
    </row>
    <row r="317" spans="1:13" x14ac:dyDescent="0.25">
      <c r="A317" s="117"/>
      <c r="B317" s="228"/>
      <c r="C317" s="130"/>
      <c r="D317" s="5" t="s">
        <v>2081</v>
      </c>
      <c r="E317" s="130"/>
      <c r="F317" s="130"/>
      <c r="G317" s="20">
        <v>27310.7</v>
      </c>
      <c r="H317" s="20">
        <v>0</v>
      </c>
      <c r="I317" s="76">
        <v>0</v>
      </c>
      <c r="J317" s="98"/>
      <c r="K317" s="14"/>
      <c r="L317" s="14"/>
      <c r="M317" s="14"/>
    </row>
    <row r="318" spans="1:13" ht="68.25" customHeight="1" x14ac:dyDescent="0.25">
      <c r="A318" s="272" t="s">
        <v>750</v>
      </c>
      <c r="B318" s="273"/>
      <c r="C318" s="273"/>
      <c r="D318" s="274"/>
      <c r="E318" s="185" t="s">
        <v>16</v>
      </c>
      <c r="F318" s="275" t="s">
        <v>159</v>
      </c>
      <c r="G318" s="59">
        <f>+G244+G246+G248+G250+G252+G254+G256+G257+G259+G261+G263+G265+G267+G269+G271+G273+G275+G277+G279+G280++G281+G282+G284+G287+G288+G289+G290+G293+G316+G317+G291+G295+G297+G298+G300+G302+G303+G305+G307+G310+G312+G314+G315</f>
        <v>852575.40000000014</v>
      </c>
      <c r="H318" s="59">
        <f>+H244+H246+H248+H250+H252+H254+H256+H257+H259+H261+H263+H265+H267+H269+H271+H273+H275+H277+H279+H280+H281+H282+H284+H287+H288+H289+H290+H293+H316+H317+H291+H295+H297+H298+H300+H302+H303+H305+H307+H310+H312+H314+H315</f>
        <v>1134316.5</v>
      </c>
      <c r="I318" s="81">
        <f>+I244+I246+I248+I250+I252+I254+I256+I257+I259+I261+I263+I265+I267+I269+I271+I273++I275+I277+I279+I280+I281+I282+I284+I287+I288+I289+I290+I293+I316+I317+I291+I295+I297+I300+I298+I302+I303+I305+I307+I310+I314+I315+I312</f>
        <v>985151.64000000013</v>
      </c>
      <c r="J318" s="98"/>
      <c r="K318" s="14"/>
      <c r="L318" s="14"/>
      <c r="M318" s="14"/>
    </row>
    <row r="319" spans="1:13" ht="60" x14ac:dyDescent="0.25">
      <c r="A319" s="118" t="s">
        <v>757</v>
      </c>
      <c r="B319" s="276" t="s">
        <v>752</v>
      </c>
      <c r="C319" s="118" t="s">
        <v>2064</v>
      </c>
      <c r="D319" s="277" t="s">
        <v>1692</v>
      </c>
      <c r="E319" s="105" t="s">
        <v>2070</v>
      </c>
      <c r="F319" s="105" t="s">
        <v>157</v>
      </c>
      <c r="G319" s="110">
        <v>4</v>
      </c>
      <c r="H319" s="110">
        <v>4</v>
      </c>
      <c r="I319" s="80">
        <v>4</v>
      </c>
      <c r="J319" s="98"/>
      <c r="K319" s="14"/>
      <c r="L319" s="14"/>
      <c r="M319" s="14"/>
    </row>
    <row r="320" spans="1:13" ht="60" x14ac:dyDescent="0.25">
      <c r="A320" s="130"/>
      <c r="B320" s="278"/>
      <c r="C320" s="130"/>
      <c r="D320" s="107" t="s">
        <v>753</v>
      </c>
      <c r="E320" s="107" t="s">
        <v>16</v>
      </c>
      <c r="F320" s="107" t="s">
        <v>159</v>
      </c>
      <c r="G320" s="110">
        <v>226.9</v>
      </c>
      <c r="H320" s="110">
        <v>226.9</v>
      </c>
      <c r="I320" s="80">
        <v>226.9</v>
      </c>
      <c r="J320" s="98"/>
      <c r="K320" s="14"/>
      <c r="L320" s="14"/>
      <c r="M320" s="14"/>
    </row>
    <row r="321" spans="1:13" ht="90" x14ac:dyDescent="0.25">
      <c r="A321" s="279" t="s">
        <v>758</v>
      </c>
      <c r="B321" s="278"/>
      <c r="C321" s="118" t="s">
        <v>2057</v>
      </c>
      <c r="D321" s="277" t="s">
        <v>1693</v>
      </c>
      <c r="E321" s="105" t="s">
        <v>2071</v>
      </c>
      <c r="F321" s="105" t="s">
        <v>85</v>
      </c>
      <c r="G321" s="110">
        <v>5</v>
      </c>
      <c r="H321" s="110">
        <v>5</v>
      </c>
      <c r="I321" s="80">
        <v>5</v>
      </c>
      <c r="J321" s="98"/>
      <c r="K321" s="14"/>
      <c r="L321" s="14"/>
      <c r="M321" s="14"/>
    </row>
    <row r="322" spans="1:13" ht="60" x14ac:dyDescent="0.25">
      <c r="A322" s="130"/>
      <c r="B322" s="278"/>
      <c r="C322" s="130"/>
      <c r="D322" s="107" t="s">
        <v>753</v>
      </c>
      <c r="E322" s="107" t="s">
        <v>16</v>
      </c>
      <c r="F322" s="107" t="s">
        <v>159</v>
      </c>
      <c r="G322" s="110">
        <v>1473.66</v>
      </c>
      <c r="H322" s="110">
        <v>1361.44</v>
      </c>
      <c r="I322" s="80">
        <v>1473.66</v>
      </c>
      <c r="J322" s="98"/>
      <c r="K322" s="14"/>
      <c r="L322" s="14"/>
      <c r="M322" s="14"/>
    </row>
    <row r="323" spans="1:13" ht="98.25" customHeight="1" x14ac:dyDescent="0.25">
      <c r="A323" s="279" t="s">
        <v>759</v>
      </c>
      <c r="B323" s="278"/>
      <c r="C323" s="116" t="s">
        <v>1565</v>
      </c>
      <c r="D323" s="277" t="s">
        <v>1694</v>
      </c>
      <c r="E323" s="105" t="s">
        <v>2072</v>
      </c>
      <c r="F323" s="105" t="s">
        <v>85</v>
      </c>
      <c r="G323" s="110">
        <v>800</v>
      </c>
      <c r="H323" s="110">
        <v>800</v>
      </c>
      <c r="I323" s="80">
        <v>800</v>
      </c>
      <c r="J323" s="98"/>
      <c r="K323" s="14"/>
      <c r="L323" s="14"/>
      <c r="M323" s="14"/>
    </row>
    <row r="324" spans="1:13" ht="60" x14ac:dyDescent="0.25">
      <c r="A324" s="130"/>
      <c r="B324" s="278"/>
      <c r="C324" s="117"/>
      <c r="D324" s="107" t="s">
        <v>753</v>
      </c>
      <c r="E324" s="107" t="s">
        <v>16</v>
      </c>
      <c r="F324" s="107" t="s">
        <v>159</v>
      </c>
      <c r="G324" s="110">
        <v>0</v>
      </c>
      <c r="H324" s="110">
        <v>0</v>
      </c>
      <c r="I324" s="80">
        <v>0</v>
      </c>
      <c r="J324" s="98"/>
      <c r="K324" s="14"/>
      <c r="L324" s="14"/>
      <c r="M324" s="14"/>
    </row>
    <row r="325" spans="1:13" ht="36.75" customHeight="1" x14ac:dyDescent="0.25">
      <c r="A325" s="116" t="s">
        <v>760</v>
      </c>
      <c r="B325" s="278"/>
      <c r="C325" s="118" t="s">
        <v>2073</v>
      </c>
      <c r="D325" s="268" t="s">
        <v>1695</v>
      </c>
      <c r="E325" s="12" t="s">
        <v>171</v>
      </c>
      <c r="F325" s="280" t="s">
        <v>157</v>
      </c>
      <c r="G325" s="24">
        <v>182000</v>
      </c>
      <c r="H325" s="24">
        <v>182000</v>
      </c>
      <c r="I325" s="94">
        <v>182000</v>
      </c>
      <c r="J325" s="98"/>
      <c r="K325" s="14"/>
      <c r="L325" s="14"/>
      <c r="M325" s="14"/>
    </row>
    <row r="326" spans="1:13" ht="21.75" customHeight="1" x14ac:dyDescent="0.25">
      <c r="A326" s="118"/>
      <c r="B326" s="278"/>
      <c r="C326" s="118"/>
      <c r="D326" s="268"/>
      <c r="E326" s="107" t="s">
        <v>295</v>
      </c>
      <c r="F326" s="107" t="s">
        <v>85</v>
      </c>
      <c r="G326" s="55">
        <v>1</v>
      </c>
      <c r="H326" s="55">
        <v>1</v>
      </c>
      <c r="I326" s="82">
        <v>1</v>
      </c>
      <c r="J326" s="98"/>
      <c r="K326" s="14"/>
      <c r="L326" s="14"/>
      <c r="M326" s="14"/>
    </row>
    <row r="327" spans="1:13" ht="21.75" customHeight="1" x14ac:dyDescent="0.25">
      <c r="A327" s="118"/>
      <c r="B327" s="278"/>
      <c r="C327" s="118"/>
      <c r="D327" s="268"/>
      <c r="E327" s="107" t="s">
        <v>294</v>
      </c>
      <c r="F327" s="107" t="s">
        <v>149</v>
      </c>
      <c r="G327" s="55">
        <v>35</v>
      </c>
      <c r="H327" s="55">
        <v>35</v>
      </c>
      <c r="I327" s="82">
        <v>35</v>
      </c>
      <c r="J327" s="98"/>
      <c r="K327" s="14"/>
      <c r="L327" s="14"/>
      <c r="M327" s="14"/>
    </row>
    <row r="328" spans="1:13" ht="60" x14ac:dyDescent="0.25">
      <c r="A328" s="117"/>
      <c r="B328" s="278"/>
      <c r="C328" s="130"/>
      <c r="D328" s="107" t="s">
        <v>753</v>
      </c>
      <c r="E328" s="107" t="s">
        <v>16</v>
      </c>
      <c r="F328" s="107" t="s">
        <v>159</v>
      </c>
      <c r="G328" s="110">
        <v>453.81</v>
      </c>
      <c r="H328" s="110">
        <v>453.81</v>
      </c>
      <c r="I328" s="80">
        <v>453.81</v>
      </c>
      <c r="J328" s="98"/>
      <c r="K328" s="14"/>
      <c r="L328" s="14"/>
      <c r="M328" s="14"/>
    </row>
    <row r="329" spans="1:13" ht="90" x14ac:dyDescent="0.25">
      <c r="A329" s="281" t="s">
        <v>761</v>
      </c>
      <c r="B329" s="278"/>
      <c r="C329" s="116" t="s">
        <v>2075</v>
      </c>
      <c r="D329" s="277" t="s">
        <v>1696</v>
      </c>
      <c r="E329" s="99" t="s">
        <v>2074</v>
      </c>
      <c r="F329" s="99" t="s">
        <v>149</v>
      </c>
      <c r="G329" s="55">
        <v>2</v>
      </c>
      <c r="H329" s="55">
        <v>2</v>
      </c>
      <c r="I329" s="82">
        <v>2</v>
      </c>
      <c r="J329" s="98"/>
      <c r="K329" s="14"/>
      <c r="L329" s="14"/>
      <c r="M329" s="14"/>
    </row>
    <row r="330" spans="1:13" ht="60" x14ac:dyDescent="0.25">
      <c r="A330" s="130"/>
      <c r="B330" s="278"/>
      <c r="C330" s="130"/>
      <c r="D330" s="107" t="s">
        <v>753</v>
      </c>
      <c r="E330" s="107" t="s">
        <v>16</v>
      </c>
      <c r="F330" s="107" t="s">
        <v>159</v>
      </c>
      <c r="G330" s="110">
        <v>907.63</v>
      </c>
      <c r="H330" s="110">
        <v>907.63</v>
      </c>
      <c r="I330" s="80">
        <v>907.63</v>
      </c>
      <c r="J330" s="98"/>
      <c r="K330" s="14"/>
      <c r="L330" s="14"/>
      <c r="M330" s="14"/>
    </row>
    <row r="331" spans="1:13" ht="109.5" customHeight="1" x14ac:dyDescent="0.25">
      <c r="A331" s="279" t="s">
        <v>762</v>
      </c>
      <c r="B331" s="278"/>
      <c r="C331" s="130" t="s">
        <v>2075</v>
      </c>
      <c r="D331" s="162" t="s">
        <v>1697</v>
      </c>
      <c r="E331" s="282" t="s">
        <v>2077</v>
      </c>
      <c r="F331" s="100" t="s">
        <v>161</v>
      </c>
      <c r="G331" s="110">
        <v>0.2</v>
      </c>
      <c r="H331" s="110">
        <v>0.2</v>
      </c>
      <c r="I331" s="80">
        <v>0.2</v>
      </c>
      <c r="J331" s="98"/>
      <c r="K331" s="14"/>
      <c r="L331" s="14"/>
      <c r="M331" s="14"/>
    </row>
    <row r="332" spans="1:13" ht="45" x14ac:dyDescent="0.25">
      <c r="A332" s="279"/>
      <c r="B332" s="278"/>
      <c r="C332" s="130"/>
      <c r="D332" s="163"/>
      <c r="E332" s="99" t="s">
        <v>2076</v>
      </c>
      <c r="F332" s="99" t="s">
        <v>172</v>
      </c>
      <c r="G332" s="110">
        <v>1</v>
      </c>
      <c r="H332" s="110">
        <v>1</v>
      </c>
      <c r="I332" s="80">
        <v>1</v>
      </c>
      <c r="J332" s="98"/>
      <c r="K332" s="14"/>
      <c r="L332" s="14"/>
      <c r="M332" s="14"/>
    </row>
    <row r="333" spans="1:13" ht="60" x14ac:dyDescent="0.25">
      <c r="A333" s="130"/>
      <c r="B333" s="278"/>
      <c r="C333" s="130"/>
      <c r="D333" s="107" t="s">
        <v>753</v>
      </c>
      <c r="E333" s="107" t="s">
        <v>16</v>
      </c>
      <c r="F333" s="107" t="s">
        <v>159</v>
      </c>
      <c r="G333" s="110">
        <v>0</v>
      </c>
      <c r="H333" s="110">
        <v>0</v>
      </c>
      <c r="I333" s="80">
        <v>0</v>
      </c>
      <c r="J333" s="98"/>
      <c r="K333" s="14"/>
      <c r="L333" s="14"/>
      <c r="M333" s="14"/>
    </row>
    <row r="334" spans="1:13" ht="105" x14ac:dyDescent="0.25">
      <c r="A334" s="279" t="s">
        <v>763</v>
      </c>
      <c r="B334" s="278"/>
      <c r="C334" s="118" t="s">
        <v>2075</v>
      </c>
      <c r="D334" s="116" t="s">
        <v>1697</v>
      </c>
      <c r="E334" s="105" t="s">
        <v>2078</v>
      </c>
      <c r="F334" s="105" t="s">
        <v>85</v>
      </c>
      <c r="G334" s="55">
        <v>30</v>
      </c>
      <c r="H334" s="55">
        <v>30</v>
      </c>
      <c r="I334" s="82">
        <v>30</v>
      </c>
      <c r="J334" s="98"/>
      <c r="K334" s="14"/>
      <c r="L334" s="14"/>
      <c r="M334" s="14"/>
    </row>
    <row r="335" spans="1:13" ht="45" x14ac:dyDescent="0.25">
      <c r="A335" s="279"/>
      <c r="B335" s="278"/>
      <c r="C335" s="118"/>
      <c r="D335" s="117"/>
      <c r="E335" s="107" t="s">
        <v>2079</v>
      </c>
      <c r="F335" s="100" t="s">
        <v>157</v>
      </c>
      <c r="G335" s="110">
        <v>208709</v>
      </c>
      <c r="H335" s="110">
        <v>208709</v>
      </c>
      <c r="I335" s="80">
        <v>208709</v>
      </c>
      <c r="J335" s="98"/>
      <c r="K335" s="14"/>
      <c r="L335" s="14"/>
      <c r="M335" s="14"/>
    </row>
    <row r="336" spans="1:13" ht="60" x14ac:dyDescent="0.25">
      <c r="A336" s="130"/>
      <c r="B336" s="278"/>
      <c r="C336" s="283"/>
      <c r="D336" s="99" t="s">
        <v>754</v>
      </c>
      <c r="E336" s="107" t="s">
        <v>16</v>
      </c>
      <c r="F336" s="107" t="s">
        <v>159</v>
      </c>
      <c r="G336" s="110">
        <v>0</v>
      </c>
      <c r="H336" s="110">
        <v>0</v>
      </c>
      <c r="I336" s="80">
        <v>0</v>
      </c>
      <c r="J336" s="98"/>
      <c r="K336" s="14"/>
      <c r="L336" s="14"/>
      <c r="M336" s="14"/>
    </row>
    <row r="337" spans="1:13" ht="195" x14ac:dyDescent="0.25">
      <c r="A337" s="281" t="s">
        <v>764</v>
      </c>
      <c r="B337" s="278"/>
      <c r="C337" s="125" t="s">
        <v>2075</v>
      </c>
      <c r="D337" s="108" t="s">
        <v>1698</v>
      </c>
      <c r="E337" s="99" t="s">
        <v>2092</v>
      </c>
      <c r="F337" s="99" t="s">
        <v>149</v>
      </c>
      <c r="G337" s="55">
        <v>100</v>
      </c>
      <c r="H337" s="55">
        <v>100</v>
      </c>
      <c r="I337" s="82">
        <v>100</v>
      </c>
      <c r="J337" s="98"/>
      <c r="K337" s="14"/>
      <c r="L337" s="14"/>
      <c r="M337" s="14"/>
    </row>
    <row r="338" spans="1:13" ht="58.5" customHeight="1" x14ac:dyDescent="0.25">
      <c r="A338" s="130"/>
      <c r="B338" s="278"/>
      <c r="C338" s="154"/>
      <c r="D338" s="107" t="s">
        <v>753</v>
      </c>
      <c r="E338" s="107" t="s">
        <v>16</v>
      </c>
      <c r="F338" s="107" t="s">
        <v>159</v>
      </c>
      <c r="G338" s="69">
        <v>394.9</v>
      </c>
      <c r="H338" s="69">
        <v>394.9</v>
      </c>
      <c r="I338" s="83">
        <v>394.9</v>
      </c>
      <c r="J338" s="98"/>
      <c r="K338" s="14"/>
      <c r="L338" s="14"/>
      <c r="M338" s="14"/>
    </row>
    <row r="339" spans="1:13" ht="180" x14ac:dyDescent="0.25">
      <c r="A339" s="279" t="s">
        <v>765</v>
      </c>
      <c r="B339" s="278"/>
      <c r="C339" s="118" t="s">
        <v>102</v>
      </c>
      <c r="D339" s="105" t="s">
        <v>1699</v>
      </c>
      <c r="E339" s="105" t="s">
        <v>2093</v>
      </c>
      <c r="F339" s="105" t="s">
        <v>149</v>
      </c>
      <c r="G339" s="55">
        <v>6</v>
      </c>
      <c r="H339" s="55">
        <v>6</v>
      </c>
      <c r="I339" s="82">
        <v>6</v>
      </c>
      <c r="J339" s="98"/>
      <c r="K339" s="14"/>
      <c r="L339" s="14"/>
      <c r="M339" s="14"/>
    </row>
    <row r="340" spans="1:13" ht="61.5" customHeight="1" x14ac:dyDescent="0.25">
      <c r="A340" s="130"/>
      <c r="B340" s="278"/>
      <c r="C340" s="130"/>
      <c r="D340" s="107" t="s">
        <v>751</v>
      </c>
      <c r="E340" s="107" t="s">
        <v>16</v>
      </c>
      <c r="F340" s="107" t="s">
        <v>159</v>
      </c>
      <c r="G340" s="110">
        <v>0</v>
      </c>
      <c r="H340" s="110">
        <v>0</v>
      </c>
      <c r="I340" s="80">
        <v>0</v>
      </c>
      <c r="J340" s="98"/>
      <c r="K340" s="14"/>
      <c r="L340" s="14"/>
      <c r="M340" s="14"/>
    </row>
    <row r="341" spans="1:13" ht="103.5" customHeight="1" x14ac:dyDescent="0.25">
      <c r="A341" s="279" t="s">
        <v>766</v>
      </c>
      <c r="B341" s="278"/>
      <c r="C341" s="118" t="s">
        <v>102</v>
      </c>
      <c r="D341" s="162" t="s">
        <v>1700</v>
      </c>
      <c r="E341" s="107" t="s">
        <v>2094</v>
      </c>
      <c r="F341" s="107" t="s">
        <v>85</v>
      </c>
      <c r="G341" s="55">
        <v>6</v>
      </c>
      <c r="H341" s="55">
        <v>6</v>
      </c>
      <c r="I341" s="82">
        <v>6</v>
      </c>
      <c r="J341" s="98"/>
      <c r="K341" s="14"/>
      <c r="L341" s="14"/>
      <c r="M341" s="14"/>
    </row>
    <row r="342" spans="1:13" ht="108.75" customHeight="1" x14ac:dyDescent="0.25">
      <c r="A342" s="279"/>
      <c r="B342" s="278"/>
      <c r="C342" s="118"/>
      <c r="D342" s="163"/>
      <c r="E342" s="107" t="s">
        <v>2095</v>
      </c>
      <c r="F342" s="107" t="s">
        <v>85</v>
      </c>
      <c r="G342" s="55">
        <v>1</v>
      </c>
      <c r="H342" s="55">
        <v>1</v>
      </c>
      <c r="I342" s="82">
        <v>1</v>
      </c>
      <c r="J342" s="98"/>
      <c r="K342" s="14"/>
      <c r="L342" s="14"/>
      <c r="M342" s="14"/>
    </row>
    <row r="343" spans="1:13" ht="60" x14ac:dyDescent="0.25">
      <c r="A343" s="130"/>
      <c r="B343" s="278"/>
      <c r="C343" s="130"/>
      <c r="D343" s="107" t="s">
        <v>753</v>
      </c>
      <c r="E343" s="107" t="s">
        <v>16</v>
      </c>
      <c r="F343" s="107" t="s">
        <v>159</v>
      </c>
      <c r="G343" s="69">
        <v>226.8</v>
      </c>
      <c r="H343" s="69">
        <v>226.8</v>
      </c>
      <c r="I343" s="83">
        <v>226.8</v>
      </c>
      <c r="J343" s="98"/>
      <c r="K343" s="14"/>
      <c r="L343" s="14"/>
      <c r="M343" s="14"/>
    </row>
    <row r="344" spans="1:13" ht="81.75" customHeight="1" x14ac:dyDescent="0.25">
      <c r="A344" s="281" t="s">
        <v>767</v>
      </c>
      <c r="B344" s="278"/>
      <c r="C344" s="116" t="s">
        <v>2096</v>
      </c>
      <c r="D344" s="116" t="s">
        <v>1701</v>
      </c>
      <c r="E344" s="107" t="s">
        <v>2097</v>
      </c>
      <c r="F344" s="107" t="s">
        <v>85</v>
      </c>
      <c r="G344" s="55">
        <v>3</v>
      </c>
      <c r="H344" s="55">
        <v>3</v>
      </c>
      <c r="I344" s="82">
        <v>3</v>
      </c>
      <c r="J344" s="98"/>
      <c r="K344" s="14"/>
      <c r="L344" s="14"/>
      <c r="M344" s="14"/>
    </row>
    <row r="345" spans="1:13" ht="30" x14ac:dyDescent="0.25">
      <c r="A345" s="279"/>
      <c r="B345" s="278"/>
      <c r="C345" s="118"/>
      <c r="D345" s="118"/>
      <c r="E345" s="17" t="s">
        <v>175</v>
      </c>
      <c r="F345" s="107" t="s">
        <v>149</v>
      </c>
      <c r="G345" s="55">
        <v>25</v>
      </c>
      <c r="H345" s="55">
        <v>25</v>
      </c>
      <c r="I345" s="82">
        <v>25</v>
      </c>
      <c r="J345" s="98"/>
      <c r="K345" s="14"/>
      <c r="L345" s="14"/>
      <c r="M345" s="14"/>
    </row>
    <row r="346" spans="1:13" ht="105" x14ac:dyDescent="0.25">
      <c r="A346" s="279"/>
      <c r="B346" s="278"/>
      <c r="C346" s="118"/>
      <c r="D346" s="118"/>
      <c r="E346" s="17" t="s">
        <v>2098</v>
      </c>
      <c r="F346" s="107" t="s">
        <v>154</v>
      </c>
      <c r="G346" s="284">
        <v>2</v>
      </c>
      <c r="H346" s="284">
        <v>2</v>
      </c>
      <c r="I346" s="285">
        <v>2</v>
      </c>
      <c r="J346" s="98"/>
      <c r="K346" s="14"/>
      <c r="L346" s="14"/>
      <c r="M346" s="14"/>
    </row>
    <row r="347" spans="1:13" ht="30" x14ac:dyDescent="0.25">
      <c r="A347" s="279"/>
      <c r="B347" s="278"/>
      <c r="C347" s="118"/>
      <c r="D347" s="117"/>
      <c r="E347" s="17" t="s">
        <v>176</v>
      </c>
      <c r="F347" s="107" t="s">
        <v>85</v>
      </c>
      <c r="G347" s="55">
        <v>10</v>
      </c>
      <c r="H347" s="55">
        <v>10</v>
      </c>
      <c r="I347" s="82">
        <v>10</v>
      </c>
      <c r="J347" s="98"/>
      <c r="K347" s="14"/>
      <c r="L347" s="14"/>
      <c r="M347" s="14"/>
    </row>
    <row r="348" spans="1:13" ht="15" customHeight="1" x14ac:dyDescent="0.25">
      <c r="A348" s="130" t="s">
        <v>768</v>
      </c>
      <c r="B348" s="278"/>
      <c r="C348" s="130" t="s">
        <v>2096</v>
      </c>
      <c r="D348" s="118" t="s">
        <v>1702</v>
      </c>
      <c r="E348" s="116" t="s">
        <v>2099</v>
      </c>
      <c r="F348" s="116" t="s">
        <v>177</v>
      </c>
      <c r="G348" s="286">
        <v>500</v>
      </c>
      <c r="H348" s="286">
        <v>500</v>
      </c>
      <c r="I348" s="287">
        <v>500</v>
      </c>
      <c r="J348" s="98"/>
      <c r="K348" s="14"/>
      <c r="L348" s="14"/>
      <c r="M348" s="14"/>
    </row>
    <row r="349" spans="1:13" ht="93" customHeight="1" x14ac:dyDescent="0.25">
      <c r="A349" s="288"/>
      <c r="B349" s="278"/>
      <c r="C349" s="116"/>
      <c r="D349" s="118"/>
      <c r="E349" s="118"/>
      <c r="F349" s="118"/>
      <c r="G349" s="289"/>
      <c r="H349" s="289"/>
      <c r="I349" s="290"/>
      <c r="J349" s="98"/>
      <c r="K349" s="14"/>
      <c r="L349" s="14"/>
      <c r="M349" s="14"/>
    </row>
    <row r="350" spans="1:13" ht="60" x14ac:dyDescent="0.25">
      <c r="A350" s="291"/>
      <c r="B350" s="278"/>
      <c r="C350" s="130"/>
      <c r="D350" s="107" t="s">
        <v>753</v>
      </c>
      <c r="E350" s="107" t="s">
        <v>16</v>
      </c>
      <c r="F350" s="107" t="s">
        <v>159</v>
      </c>
      <c r="G350" s="110">
        <v>1361.44</v>
      </c>
      <c r="H350" s="110">
        <v>1136.1400000000001</v>
      </c>
      <c r="I350" s="80">
        <v>1136.1400000000001</v>
      </c>
      <c r="J350" s="98"/>
      <c r="K350" s="14"/>
      <c r="L350" s="14"/>
      <c r="M350" s="14"/>
    </row>
    <row r="351" spans="1:13" ht="78.75" customHeight="1" x14ac:dyDescent="0.25">
      <c r="A351" s="279" t="s">
        <v>769</v>
      </c>
      <c r="B351" s="278"/>
      <c r="C351" s="118" t="s">
        <v>2103</v>
      </c>
      <c r="D351" s="118" t="s">
        <v>1695</v>
      </c>
      <c r="E351" s="100" t="s">
        <v>2100</v>
      </c>
      <c r="F351" s="100" t="s">
        <v>161</v>
      </c>
      <c r="G351" s="110">
        <v>2863</v>
      </c>
      <c r="H351" s="110">
        <v>2863</v>
      </c>
      <c r="I351" s="80">
        <v>2863</v>
      </c>
      <c r="J351" s="98"/>
      <c r="K351" s="14"/>
      <c r="L351" s="14"/>
      <c r="M351" s="14"/>
    </row>
    <row r="352" spans="1:13" ht="90" x14ac:dyDescent="0.25">
      <c r="A352" s="279"/>
      <c r="B352" s="278"/>
      <c r="C352" s="118"/>
      <c r="D352" s="118"/>
      <c r="E352" s="107" t="s">
        <v>2101</v>
      </c>
      <c r="F352" s="107" t="s">
        <v>149</v>
      </c>
      <c r="G352" s="265">
        <v>4</v>
      </c>
      <c r="H352" s="265">
        <v>4</v>
      </c>
      <c r="I352" s="266">
        <v>4</v>
      </c>
      <c r="J352" s="98"/>
      <c r="K352" s="14"/>
      <c r="L352" s="14"/>
      <c r="M352" s="14"/>
    </row>
    <row r="353" spans="1:13" ht="90" x14ac:dyDescent="0.25">
      <c r="A353" s="279"/>
      <c r="B353" s="278"/>
      <c r="C353" s="118"/>
      <c r="D353" s="118"/>
      <c r="E353" s="99" t="s">
        <v>2102</v>
      </c>
      <c r="F353" s="99" t="s">
        <v>85</v>
      </c>
      <c r="G353" s="292">
        <v>1</v>
      </c>
      <c r="H353" s="292">
        <v>1</v>
      </c>
      <c r="I353" s="293">
        <v>1</v>
      </c>
      <c r="J353" s="98"/>
      <c r="K353" s="14"/>
      <c r="L353" s="14"/>
      <c r="M353" s="14"/>
    </row>
    <row r="354" spans="1:13" ht="60" x14ac:dyDescent="0.25">
      <c r="A354" s="130"/>
      <c r="B354" s="278"/>
      <c r="C354" s="130"/>
      <c r="D354" s="107" t="s">
        <v>753</v>
      </c>
      <c r="E354" s="107" t="s">
        <v>16</v>
      </c>
      <c r="F354" s="107" t="s">
        <v>159</v>
      </c>
      <c r="G354" s="72">
        <v>282.5</v>
      </c>
      <c r="H354" s="72">
        <v>282.5</v>
      </c>
      <c r="I354" s="269">
        <v>282.5</v>
      </c>
      <c r="J354" s="98"/>
      <c r="K354" s="14"/>
      <c r="L354" s="14"/>
      <c r="M354" s="14"/>
    </row>
    <row r="355" spans="1:13" ht="94.5" customHeight="1" x14ac:dyDescent="0.25">
      <c r="A355" s="279" t="s">
        <v>770</v>
      </c>
      <c r="B355" s="278"/>
      <c r="C355" s="118" t="s">
        <v>2064</v>
      </c>
      <c r="D355" s="118" t="s">
        <v>1703</v>
      </c>
      <c r="E355" s="100" t="s">
        <v>2074</v>
      </c>
      <c r="F355" s="100" t="s">
        <v>149</v>
      </c>
      <c r="G355" s="292">
        <v>3</v>
      </c>
      <c r="H355" s="292">
        <v>3</v>
      </c>
      <c r="I355" s="293">
        <v>3</v>
      </c>
      <c r="J355" s="98"/>
      <c r="K355" s="14"/>
      <c r="L355" s="14"/>
      <c r="M355" s="14"/>
    </row>
    <row r="356" spans="1:13" ht="92.25" customHeight="1" x14ac:dyDescent="0.25">
      <c r="A356" s="279"/>
      <c r="B356" s="278"/>
      <c r="C356" s="118"/>
      <c r="D356" s="118"/>
      <c r="E356" s="99" t="s">
        <v>2104</v>
      </c>
      <c r="F356" s="99" t="s">
        <v>157</v>
      </c>
      <c r="G356" s="110">
        <v>2300</v>
      </c>
      <c r="H356" s="110">
        <v>2300</v>
      </c>
      <c r="I356" s="80">
        <v>2300</v>
      </c>
      <c r="J356" s="98"/>
      <c r="K356" s="14"/>
      <c r="L356" s="14"/>
      <c r="M356" s="14"/>
    </row>
    <row r="357" spans="1:13" ht="60" x14ac:dyDescent="0.25">
      <c r="A357" s="130"/>
      <c r="B357" s="278"/>
      <c r="C357" s="130"/>
      <c r="D357" s="107" t="s">
        <v>753</v>
      </c>
      <c r="E357" s="107" t="s">
        <v>16</v>
      </c>
      <c r="F357" s="107" t="s">
        <v>159</v>
      </c>
      <c r="G357" s="72">
        <v>113</v>
      </c>
      <c r="H357" s="72">
        <v>113</v>
      </c>
      <c r="I357" s="269">
        <v>113</v>
      </c>
      <c r="J357" s="98"/>
      <c r="K357" s="14"/>
      <c r="L357" s="14"/>
      <c r="M357" s="14"/>
    </row>
    <row r="358" spans="1:13" ht="60" x14ac:dyDescent="0.25">
      <c r="A358" s="279"/>
      <c r="B358" s="278"/>
      <c r="C358" s="118"/>
      <c r="D358" s="105" t="s">
        <v>1703</v>
      </c>
      <c r="E358" s="105" t="s">
        <v>180</v>
      </c>
      <c r="F358" s="105" t="s">
        <v>181</v>
      </c>
      <c r="G358" s="110">
        <v>4</v>
      </c>
      <c r="H358" s="110">
        <v>4</v>
      </c>
      <c r="I358" s="80">
        <v>4</v>
      </c>
      <c r="J358" s="98"/>
      <c r="K358" s="14"/>
      <c r="L358" s="14"/>
      <c r="M358" s="14"/>
    </row>
    <row r="359" spans="1:13" ht="60" x14ac:dyDescent="0.25">
      <c r="A359" s="130"/>
      <c r="B359" s="278"/>
      <c r="C359" s="130"/>
      <c r="D359" s="107" t="s">
        <v>753</v>
      </c>
      <c r="E359" s="107" t="s">
        <v>16</v>
      </c>
      <c r="F359" s="107" t="s">
        <v>159</v>
      </c>
      <c r="G359" s="110">
        <v>169.5</v>
      </c>
      <c r="H359" s="110">
        <v>169.5</v>
      </c>
      <c r="I359" s="80">
        <v>169.5</v>
      </c>
      <c r="J359" s="98"/>
      <c r="K359" s="14"/>
      <c r="L359" s="14"/>
      <c r="M359" s="14"/>
    </row>
    <row r="360" spans="1:13" ht="102" customHeight="1" x14ac:dyDescent="0.25">
      <c r="A360" s="279" t="s">
        <v>771</v>
      </c>
      <c r="B360" s="278"/>
      <c r="C360" s="118" t="s">
        <v>2064</v>
      </c>
      <c r="D360" s="118" t="s">
        <v>1703</v>
      </c>
      <c r="E360" s="100" t="s">
        <v>2105</v>
      </c>
      <c r="F360" s="100" t="s">
        <v>149</v>
      </c>
      <c r="G360" s="294">
        <v>24</v>
      </c>
      <c r="H360" s="294">
        <v>24</v>
      </c>
      <c r="I360" s="295">
        <v>24</v>
      </c>
      <c r="J360" s="98"/>
      <c r="K360" s="14"/>
      <c r="L360" s="14"/>
      <c r="M360" s="14"/>
    </row>
    <row r="361" spans="1:13" ht="108.75" customHeight="1" x14ac:dyDescent="0.25">
      <c r="A361" s="279"/>
      <c r="B361" s="278"/>
      <c r="C361" s="118"/>
      <c r="D361" s="118"/>
      <c r="E361" s="99" t="s">
        <v>2077</v>
      </c>
      <c r="F361" s="99" t="s">
        <v>157</v>
      </c>
      <c r="G361" s="110">
        <v>2386</v>
      </c>
      <c r="H361" s="110">
        <v>2386</v>
      </c>
      <c r="I361" s="80">
        <v>2386</v>
      </c>
      <c r="J361" s="98"/>
      <c r="K361" s="14"/>
      <c r="L361" s="14"/>
      <c r="M361" s="14"/>
    </row>
    <row r="362" spans="1:13" ht="60" x14ac:dyDescent="0.25">
      <c r="A362" s="130"/>
      <c r="B362" s="278"/>
      <c r="C362" s="130"/>
      <c r="D362" s="107" t="s">
        <v>753</v>
      </c>
      <c r="E362" s="107" t="s">
        <v>16</v>
      </c>
      <c r="F362" s="107" t="s">
        <v>159</v>
      </c>
      <c r="G362" s="110">
        <v>1130</v>
      </c>
      <c r="H362" s="110">
        <v>1130</v>
      </c>
      <c r="I362" s="80">
        <v>1130</v>
      </c>
      <c r="J362" s="98"/>
      <c r="K362" s="14"/>
      <c r="L362" s="14"/>
      <c r="M362" s="14"/>
    </row>
    <row r="363" spans="1:13" ht="135" x14ac:dyDescent="0.25">
      <c r="A363" s="279" t="s">
        <v>772</v>
      </c>
      <c r="B363" s="278"/>
      <c r="C363" s="118" t="s">
        <v>102</v>
      </c>
      <c r="D363" s="118" t="s">
        <v>1700</v>
      </c>
      <c r="E363" s="100" t="s">
        <v>2106</v>
      </c>
      <c r="F363" s="100" t="s">
        <v>149</v>
      </c>
      <c r="G363" s="294">
        <v>2</v>
      </c>
      <c r="H363" s="294">
        <v>2</v>
      </c>
      <c r="I363" s="295">
        <v>2</v>
      </c>
      <c r="J363" s="98"/>
      <c r="K363" s="14"/>
      <c r="L363" s="14"/>
      <c r="M363" s="14"/>
    </row>
    <row r="364" spans="1:13" ht="30" x14ac:dyDescent="0.25">
      <c r="A364" s="279"/>
      <c r="B364" s="278"/>
      <c r="C364" s="118"/>
      <c r="D364" s="118"/>
      <c r="E364" s="107" t="s">
        <v>173</v>
      </c>
      <c r="F364" s="107" t="s">
        <v>85</v>
      </c>
      <c r="G364" s="294">
        <v>2</v>
      </c>
      <c r="H364" s="294">
        <v>2</v>
      </c>
      <c r="I364" s="295">
        <v>2</v>
      </c>
      <c r="J364" s="98"/>
      <c r="K364" s="14"/>
      <c r="L364" s="14"/>
      <c r="M364" s="14"/>
    </row>
    <row r="365" spans="1:13" x14ac:dyDescent="0.25">
      <c r="A365" s="279"/>
      <c r="B365" s="278"/>
      <c r="C365" s="118"/>
      <c r="D365" s="118"/>
      <c r="E365" s="99" t="s">
        <v>174</v>
      </c>
      <c r="F365" s="99" t="s">
        <v>149</v>
      </c>
      <c r="G365" s="296">
        <v>2</v>
      </c>
      <c r="H365" s="296">
        <v>2</v>
      </c>
      <c r="I365" s="297">
        <v>2</v>
      </c>
      <c r="J365" s="98"/>
      <c r="K365" s="14"/>
      <c r="L365" s="14"/>
      <c r="M365" s="14"/>
    </row>
    <row r="366" spans="1:13" ht="60" x14ac:dyDescent="0.25">
      <c r="A366" s="130"/>
      <c r="B366" s="278"/>
      <c r="C366" s="130"/>
      <c r="D366" s="107" t="s">
        <v>753</v>
      </c>
      <c r="E366" s="107" t="s">
        <v>16</v>
      </c>
      <c r="F366" s="107" t="s">
        <v>159</v>
      </c>
      <c r="G366" s="110">
        <v>56.5</v>
      </c>
      <c r="H366" s="110">
        <v>56.5</v>
      </c>
      <c r="I366" s="80">
        <v>56.5</v>
      </c>
      <c r="J366" s="98"/>
      <c r="K366" s="14"/>
      <c r="L366" s="14"/>
      <c r="M366" s="14"/>
    </row>
    <row r="367" spans="1:13" ht="90" customHeight="1" x14ac:dyDescent="0.25">
      <c r="A367" s="279" t="s">
        <v>773</v>
      </c>
      <c r="B367" s="278"/>
      <c r="C367" s="118" t="s">
        <v>2096</v>
      </c>
      <c r="D367" s="118" t="s">
        <v>1701</v>
      </c>
      <c r="E367" s="100" t="s">
        <v>2107</v>
      </c>
      <c r="F367" s="100" t="s">
        <v>149</v>
      </c>
      <c r="G367" s="265">
        <v>200</v>
      </c>
      <c r="H367" s="265">
        <v>200</v>
      </c>
      <c r="I367" s="266">
        <v>200</v>
      </c>
      <c r="J367" s="98"/>
      <c r="K367" s="14"/>
      <c r="L367" s="14"/>
      <c r="M367" s="14"/>
    </row>
    <row r="368" spans="1:13" ht="45" customHeight="1" x14ac:dyDescent="0.25">
      <c r="A368" s="279"/>
      <c r="B368" s="278"/>
      <c r="C368" s="118"/>
      <c r="D368" s="118"/>
      <c r="E368" s="107" t="s">
        <v>183</v>
      </c>
      <c r="F368" s="107" t="s">
        <v>156</v>
      </c>
      <c r="G368" s="110">
        <v>1</v>
      </c>
      <c r="H368" s="110">
        <v>1</v>
      </c>
      <c r="I368" s="80">
        <v>1</v>
      </c>
      <c r="J368" s="98"/>
      <c r="K368" s="14"/>
      <c r="L368" s="14"/>
      <c r="M368" s="14"/>
    </row>
    <row r="369" spans="1:13" ht="30" x14ac:dyDescent="0.25">
      <c r="A369" s="279"/>
      <c r="B369" s="278"/>
      <c r="C369" s="118"/>
      <c r="D369" s="118"/>
      <c r="E369" s="99" t="s">
        <v>184</v>
      </c>
      <c r="F369" s="99" t="s">
        <v>149</v>
      </c>
      <c r="G369" s="265">
        <v>10</v>
      </c>
      <c r="H369" s="265">
        <v>10</v>
      </c>
      <c r="I369" s="266">
        <v>10</v>
      </c>
      <c r="J369" s="98"/>
      <c r="K369" s="14"/>
      <c r="L369" s="14"/>
      <c r="M369" s="14"/>
    </row>
    <row r="370" spans="1:13" ht="60" x14ac:dyDescent="0.25">
      <c r="A370" s="130"/>
      <c r="B370" s="278"/>
      <c r="C370" s="130"/>
      <c r="D370" s="107" t="s">
        <v>753</v>
      </c>
      <c r="E370" s="107" t="s">
        <v>16</v>
      </c>
      <c r="F370" s="107" t="s">
        <v>159</v>
      </c>
      <c r="G370" s="110">
        <v>0</v>
      </c>
      <c r="H370" s="110">
        <v>0</v>
      </c>
      <c r="I370" s="80">
        <v>0</v>
      </c>
      <c r="J370" s="98"/>
      <c r="K370" s="14"/>
      <c r="L370" s="14"/>
      <c r="M370" s="14"/>
    </row>
    <row r="371" spans="1:13" ht="108.75" customHeight="1" x14ac:dyDescent="0.25">
      <c r="A371" s="279" t="s">
        <v>774</v>
      </c>
      <c r="B371" s="278"/>
      <c r="C371" s="118" t="s">
        <v>2096</v>
      </c>
      <c r="D371" s="118" t="s">
        <v>1701</v>
      </c>
      <c r="E371" s="100" t="s">
        <v>2108</v>
      </c>
      <c r="F371" s="100" t="s">
        <v>149</v>
      </c>
      <c r="G371" s="265">
        <v>1600</v>
      </c>
      <c r="H371" s="265">
        <v>1600</v>
      </c>
      <c r="I371" s="266">
        <v>1600</v>
      </c>
      <c r="J371" s="98"/>
      <c r="K371" s="14"/>
      <c r="L371" s="14"/>
      <c r="M371" s="14"/>
    </row>
    <row r="372" spans="1:13" ht="18.75" customHeight="1" x14ac:dyDescent="0.25">
      <c r="A372" s="279"/>
      <c r="B372" s="278"/>
      <c r="C372" s="118"/>
      <c r="D372" s="118"/>
      <c r="E372" s="99" t="s">
        <v>142</v>
      </c>
      <c r="F372" s="99" t="s">
        <v>85</v>
      </c>
      <c r="G372" s="265">
        <v>16</v>
      </c>
      <c r="H372" s="265">
        <v>16</v>
      </c>
      <c r="I372" s="266">
        <v>16</v>
      </c>
      <c r="J372" s="98"/>
      <c r="K372" s="14"/>
      <c r="L372" s="14"/>
      <c r="M372" s="14"/>
    </row>
    <row r="373" spans="1:13" ht="60" x14ac:dyDescent="0.25">
      <c r="A373" s="130"/>
      <c r="B373" s="278"/>
      <c r="C373" s="130"/>
      <c r="D373" s="107" t="s">
        <v>753</v>
      </c>
      <c r="E373" s="107" t="s">
        <v>16</v>
      </c>
      <c r="F373" s="107" t="s">
        <v>159</v>
      </c>
      <c r="G373" s="69">
        <v>339</v>
      </c>
      <c r="H373" s="69">
        <v>339</v>
      </c>
      <c r="I373" s="83">
        <v>339</v>
      </c>
      <c r="J373" s="98"/>
      <c r="K373" s="14"/>
      <c r="L373" s="14"/>
      <c r="M373" s="14"/>
    </row>
    <row r="374" spans="1:13" ht="90" x14ac:dyDescent="0.25">
      <c r="A374" s="279" t="s">
        <v>775</v>
      </c>
      <c r="B374" s="278"/>
      <c r="C374" s="118" t="s">
        <v>2110</v>
      </c>
      <c r="D374" s="277" t="s">
        <v>1704</v>
      </c>
      <c r="E374" s="105" t="s">
        <v>2109</v>
      </c>
      <c r="F374" s="105" t="s">
        <v>149</v>
      </c>
      <c r="G374" s="265">
        <v>240</v>
      </c>
      <c r="H374" s="265">
        <v>240</v>
      </c>
      <c r="I374" s="266">
        <v>240</v>
      </c>
      <c r="J374" s="98"/>
      <c r="K374" s="14"/>
      <c r="L374" s="14"/>
      <c r="M374" s="14"/>
    </row>
    <row r="375" spans="1:13" ht="60" x14ac:dyDescent="0.25">
      <c r="A375" s="130"/>
      <c r="B375" s="278"/>
      <c r="C375" s="130"/>
      <c r="D375" s="107" t="s">
        <v>753</v>
      </c>
      <c r="E375" s="107" t="s">
        <v>16</v>
      </c>
      <c r="F375" s="107" t="s">
        <v>159</v>
      </c>
      <c r="G375" s="69">
        <v>409</v>
      </c>
      <c r="H375" s="69">
        <v>509</v>
      </c>
      <c r="I375" s="83">
        <v>409</v>
      </c>
      <c r="J375" s="98"/>
      <c r="K375" s="14"/>
      <c r="L375" s="14"/>
      <c r="M375" s="14"/>
    </row>
    <row r="376" spans="1:13" ht="90" x14ac:dyDescent="0.25">
      <c r="A376" s="279" t="s">
        <v>776</v>
      </c>
      <c r="B376" s="278"/>
      <c r="C376" s="118" t="s">
        <v>1565</v>
      </c>
      <c r="D376" s="277" t="s">
        <v>1694</v>
      </c>
      <c r="E376" s="105" t="s">
        <v>2111</v>
      </c>
      <c r="F376" s="105" t="s">
        <v>85</v>
      </c>
      <c r="G376" s="265">
        <v>500</v>
      </c>
      <c r="H376" s="265">
        <v>500</v>
      </c>
      <c r="I376" s="266">
        <v>500</v>
      </c>
      <c r="J376" s="98"/>
      <c r="K376" s="14"/>
      <c r="L376" s="14"/>
      <c r="M376" s="14"/>
    </row>
    <row r="377" spans="1:13" ht="60" x14ac:dyDescent="0.25">
      <c r="A377" s="130"/>
      <c r="B377" s="278"/>
      <c r="C377" s="130"/>
      <c r="D377" s="107" t="s">
        <v>753</v>
      </c>
      <c r="E377" s="107" t="s">
        <v>16</v>
      </c>
      <c r="F377" s="107" t="s">
        <v>159</v>
      </c>
      <c r="G377" s="69">
        <v>282.5</v>
      </c>
      <c r="H377" s="69">
        <v>282.5</v>
      </c>
      <c r="I377" s="83">
        <v>282.5</v>
      </c>
      <c r="J377" s="98"/>
      <c r="K377" s="14"/>
      <c r="L377" s="14"/>
      <c r="M377" s="14"/>
    </row>
    <row r="378" spans="1:13" ht="105" x14ac:dyDescent="0.25">
      <c r="A378" s="279" t="s">
        <v>777</v>
      </c>
      <c r="B378" s="278"/>
      <c r="C378" s="118" t="s">
        <v>1565</v>
      </c>
      <c r="D378" s="277" t="s">
        <v>1705</v>
      </c>
      <c r="E378" s="105" t="s">
        <v>2112</v>
      </c>
      <c r="F378" s="105" t="s">
        <v>149</v>
      </c>
      <c r="G378" s="265">
        <v>2</v>
      </c>
      <c r="H378" s="265">
        <v>2</v>
      </c>
      <c r="I378" s="266">
        <v>2</v>
      </c>
      <c r="J378" s="98"/>
      <c r="K378" s="14"/>
      <c r="L378" s="14"/>
      <c r="M378" s="14"/>
    </row>
    <row r="379" spans="1:13" x14ac:dyDescent="0.25">
      <c r="A379" s="130"/>
      <c r="B379" s="278"/>
      <c r="C379" s="130"/>
      <c r="D379" s="130" t="s">
        <v>753</v>
      </c>
      <c r="E379" s="130" t="s">
        <v>16</v>
      </c>
      <c r="F379" s="130" t="s">
        <v>159</v>
      </c>
      <c r="G379" s="149">
        <v>0</v>
      </c>
      <c r="H379" s="149">
        <v>0</v>
      </c>
      <c r="I379" s="151">
        <v>0</v>
      </c>
      <c r="J379" s="98"/>
      <c r="K379" s="14"/>
      <c r="L379" s="14"/>
      <c r="M379" s="14"/>
    </row>
    <row r="380" spans="1:13" ht="51" customHeight="1" x14ac:dyDescent="0.25">
      <c r="A380" s="298"/>
      <c r="B380" s="278"/>
      <c r="C380" s="117"/>
      <c r="D380" s="117"/>
      <c r="E380" s="117"/>
      <c r="F380" s="117"/>
      <c r="G380" s="150"/>
      <c r="H380" s="150"/>
      <c r="I380" s="152"/>
      <c r="J380" s="98"/>
      <c r="K380" s="14"/>
      <c r="L380" s="14"/>
      <c r="M380" s="14"/>
    </row>
    <row r="381" spans="1:13" ht="90" x14ac:dyDescent="0.25">
      <c r="A381" s="116" t="s">
        <v>778</v>
      </c>
      <c r="B381" s="278"/>
      <c r="C381" s="116" t="s">
        <v>1565</v>
      </c>
      <c r="D381" s="277" t="s">
        <v>1693</v>
      </c>
      <c r="E381" s="105" t="s">
        <v>2113</v>
      </c>
      <c r="F381" s="105" t="s">
        <v>149</v>
      </c>
      <c r="G381" s="265">
        <v>6</v>
      </c>
      <c r="H381" s="265">
        <v>6</v>
      </c>
      <c r="I381" s="266">
        <v>6</v>
      </c>
      <c r="J381" s="98"/>
      <c r="K381" s="14"/>
      <c r="L381" s="14"/>
      <c r="M381" s="14"/>
    </row>
    <row r="382" spans="1:13" ht="60" x14ac:dyDescent="0.25">
      <c r="A382" s="130"/>
      <c r="B382" s="278"/>
      <c r="C382" s="130"/>
      <c r="D382" s="107" t="s">
        <v>753</v>
      </c>
      <c r="E382" s="107" t="s">
        <v>16</v>
      </c>
      <c r="F382" s="107" t="s">
        <v>159</v>
      </c>
      <c r="G382" s="6" t="s">
        <v>534</v>
      </c>
      <c r="H382" s="72">
        <v>0</v>
      </c>
      <c r="I382" s="84">
        <v>0</v>
      </c>
      <c r="J382" s="98"/>
      <c r="K382" s="14"/>
      <c r="L382" s="14"/>
      <c r="M382" s="14"/>
    </row>
    <row r="383" spans="1:13" ht="60" x14ac:dyDescent="0.25">
      <c r="A383" s="279" t="s">
        <v>779</v>
      </c>
      <c r="B383" s="278"/>
      <c r="C383" s="118" t="s">
        <v>2064</v>
      </c>
      <c r="D383" s="105" t="s">
        <v>1692</v>
      </c>
      <c r="E383" s="105" t="s">
        <v>2114</v>
      </c>
      <c r="F383" s="277" t="s">
        <v>186</v>
      </c>
      <c r="G383" s="299">
        <v>15</v>
      </c>
      <c r="H383" s="299">
        <v>15</v>
      </c>
      <c r="I383" s="300">
        <v>15</v>
      </c>
      <c r="J383" s="98"/>
      <c r="K383" s="14"/>
      <c r="L383" s="14"/>
      <c r="M383" s="14"/>
    </row>
    <row r="384" spans="1:13" ht="60" x14ac:dyDescent="0.25">
      <c r="A384" s="130"/>
      <c r="B384" s="278"/>
      <c r="C384" s="130"/>
      <c r="D384" s="107" t="s">
        <v>753</v>
      </c>
      <c r="E384" s="107" t="s">
        <v>16</v>
      </c>
      <c r="F384" s="107" t="s">
        <v>159</v>
      </c>
      <c r="G384" s="110">
        <v>226</v>
      </c>
      <c r="H384" s="110">
        <v>226</v>
      </c>
      <c r="I384" s="80">
        <v>226</v>
      </c>
      <c r="J384" s="98"/>
      <c r="K384" s="14"/>
      <c r="L384" s="14"/>
      <c r="M384" s="14"/>
    </row>
    <row r="385" spans="1:13" ht="60" x14ac:dyDescent="0.25">
      <c r="A385" s="130" t="s">
        <v>780</v>
      </c>
      <c r="B385" s="278"/>
      <c r="C385" s="118" t="s">
        <v>2096</v>
      </c>
      <c r="D385" s="277" t="s">
        <v>1706</v>
      </c>
      <c r="E385" s="105" t="s">
        <v>2115</v>
      </c>
      <c r="F385" s="277" t="s">
        <v>85</v>
      </c>
      <c r="G385" s="265">
        <v>3</v>
      </c>
      <c r="H385" s="265">
        <v>3</v>
      </c>
      <c r="I385" s="266">
        <v>3</v>
      </c>
      <c r="J385" s="98"/>
      <c r="K385" s="14"/>
      <c r="L385" s="14"/>
      <c r="M385" s="14"/>
    </row>
    <row r="386" spans="1:13" ht="60" x14ac:dyDescent="0.25">
      <c r="A386" s="130"/>
      <c r="B386" s="278"/>
      <c r="C386" s="130"/>
      <c r="D386" s="107" t="s">
        <v>753</v>
      </c>
      <c r="E386" s="107" t="s">
        <v>16</v>
      </c>
      <c r="F386" s="107" t="s">
        <v>159</v>
      </c>
      <c r="G386" s="110">
        <v>1010</v>
      </c>
      <c r="H386" s="110">
        <v>1017</v>
      </c>
      <c r="I386" s="80">
        <v>1010</v>
      </c>
      <c r="J386" s="98"/>
      <c r="K386" s="14"/>
      <c r="L386" s="14"/>
      <c r="M386" s="14"/>
    </row>
    <row r="387" spans="1:13" ht="60" x14ac:dyDescent="0.25">
      <c r="A387" s="130" t="s">
        <v>781</v>
      </c>
      <c r="B387" s="278"/>
      <c r="C387" s="118" t="s">
        <v>56</v>
      </c>
      <c r="D387" s="277" t="s">
        <v>1707</v>
      </c>
      <c r="E387" s="105" t="s">
        <v>2116</v>
      </c>
      <c r="F387" s="277" t="s">
        <v>85</v>
      </c>
      <c r="G387" s="265">
        <v>1</v>
      </c>
      <c r="H387" s="265">
        <v>1</v>
      </c>
      <c r="I387" s="266">
        <v>1</v>
      </c>
      <c r="J387" s="98"/>
      <c r="K387" s="14"/>
      <c r="L387" s="14"/>
      <c r="M387" s="14"/>
    </row>
    <row r="388" spans="1:13" ht="60" x14ac:dyDescent="0.25">
      <c r="A388" s="130"/>
      <c r="B388" s="278"/>
      <c r="C388" s="130"/>
      <c r="D388" s="107" t="s">
        <v>753</v>
      </c>
      <c r="E388" s="107" t="s">
        <v>16</v>
      </c>
      <c r="F388" s="107" t="s">
        <v>159</v>
      </c>
      <c r="G388" s="110">
        <v>3</v>
      </c>
      <c r="H388" s="110">
        <v>3</v>
      </c>
      <c r="I388" s="80">
        <v>3</v>
      </c>
      <c r="J388" s="98"/>
      <c r="K388" s="14"/>
      <c r="L388" s="14"/>
      <c r="M388" s="14"/>
    </row>
    <row r="389" spans="1:13" ht="75" x14ac:dyDescent="0.25">
      <c r="A389" s="130" t="s">
        <v>782</v>
      </c>
      <c r="B389" s="278"/>
      <c r="C389" s="118" t="s">
        <v>56</v>
      </c>
      <c r="D389" s="277" t="s">
        <v>1708</v>
      </c>
      <c r="E389" s="105" t="s">
        <v>2117</v>
      </c>
      <c r="F389" s="277" t="s">
        <v>149</v>
      </c>
      <c r="G389" s="265">
        <v>10</v>
      </c>
      <c r="H389" s="265">
        <v>10</v>
      </c>
      <c r="I389" s="266">
        <v>10</v>
      </c>
      <c r="J389" s="98"/>
      <c r="K389" s="14"/>
      <c r="L389" s="14"/>
      <c r="M389" s="14"/>
    </row>
    <row r="390" spans="1:13" ht="60" x14ac:dyDescent="0.25">
      <c r="A390" s="130"/>
      <c r="B390" s="278"/>
      <c r="C390" s="130"/>
      <c r="D390" s="107" t="s">
        <v>753</v>
      </c>
      <c r="E390" s="107" t="s">
        <v>16</v>
      </c>
      <c r="F390" s="107" t="s">
        <v>159</v>
      </c>
      <c r="G390" s="110">
        <v>32.68</v>
      </c>
      <c r="H390" s="110">
        <v>32.68</v>
      </c>
      <c r="I390" s="80">
        <v>32.68</v>
      </c>
      <c r="J390" s="98"/>
      <c r="K390" s="14"/>
      <c r="L390" s="14"/>
      <c r="M390" s="14"/>
    </row>
    <row r="391" spans="1:13" ht="15" customHeight="1" x14ac:dyDescent="0.25">
      <c r="A391" s="130" t="s">
        <v>783</v>
      </c>
      <c r="B391" s="278"/>
      <c r="C391" s="117" t="s">
        <v>2118</v>
      </c>
      <c r="D391" s="148" t="s">
        <v>1709</v>
      </c>
      <c r="E391" s="118" t="s">
        <v>2119</v>
      </c>
      <c r="F391" s="118" t="s">
        <v>149</v>
      </c>
      <c r="G391" s="301">
        <v>4</v>
      </c>
      <c r="H391" s="301">
        <v>4</v>
      </c>
      <c r="I391" s="302">
        <v>4</v>
      </c>
      <c r="J391" s="98"/>
      <c r="K391" s="14"/>
      <c r="L391" s="14"/>
      <c r="M391" s="14"/>
    </row>
    <row r="392" spans="1:13" ht="62.25" customHeight="1" x14ac:dyDescent="0.25">
      <c r="A392" s="130"/>
      <c r="B392" s="278"/>
      <c r="C392" s="116"/>
      <c r="D392" s="148"/>
      <c r="E392" s="118"/>
      <c r="F392" s="118"/>
      <c r="G392" s="303"/>
      <c r="H392" s="303"/>
      <c r="I392" s="304"/>
      <c r="J392" s="305"/>
      <c r="K392" s="14"/>
      <c r="L392" s="14"/>
      <c r="M392" s="14"/>
    </row>
    <row r="393" spans="1:13" ht="60" x14ac:dyDescent="0.25">
      <c r="A393" s="130"/>
      <c r="B393" s="278"/>
      <c r="C393" s="130"/>
      <c r="D393" s="107" t="s">
        <v>753</v>
      </c>
      <c r="E393" s="107" t="s">
        <v>16</v>
      </c>
      <c r="F393" s="107" t="s">
        <v>159</v>
      </c>
      <c r="G393" s="110">
        <v>12.35</v>
      </c>
      <c r="H393" s="110">
        <v>12.35</v>
      </c>
      <c r="I393" s="80">
        <v>12.35</v>
      </c>
      <c r="J393" s="98"/>
      <c r="K393" s="14"/>
      <c r="L393" s="14"/>
      <c r="M393" s="14"/>
    </row>
    <row r="394" spans="1:13" ht="60" x14ac:dyDescent="0.25">
      <c r="A394" s="130"/>
      <c r="B394" s="278"/>
      <c r="C394" s="118" t="s">
        <v>2120</v>
      </c>
      <c r="D394" s="105" t="s">
        <v>1709</v>
      </c>
      <c r="E394" s="105" t="s">
        <v>2121</v>
      </c>
      <c r="F394" s="277" t="s">
        <v>149</v>
      </c>
      <c r="G394" s="265">
        <v>1</v>
      </c>
      <c r="H394" s="265">
        <v>1</v>
      </c>
      <c r="I394" s="266">
        <v>1</v>
      </c>
      <c r="J394" s="98"/>
      <c r="K394" s="14"/>
      <c r="L394" s="14"/>
      <c r="M394" s="14"/>
    </row>
    <row r="395" spans="1:13" ht="60" x14ac:dyDescent="0.25">
      <c r="A395" s="130"/>
      <c r="B395" s="278"/>
      <c r="C395" s="130"/>
      <c r="D395" s="107" t="s">
        <v>753</v>
      </c>
      <c r="E395" s="107" t="s">
        <v>16</v>
      </c>
      <c r="F395" s="107" t="s">
        <v>159</v>
      </c>
      <c r="G395" s="110">
        <v>3.26</v>
      </c>
      <c r="H395" s="110">
        <v>3.26</v>
      </c>
      <c r="I395" s="80">
        <v>3.26</v>
      </c>
      <c r="J395" s="98"/>
      <c r="K395" s="14"/>
      <c r="L395" s="14"/>
      <c r="M395" s="14"/>
    </row>
    <row r="396" spans="1:13" ht="15" customHeight="1" x14ac:dyDescent="0.25">
      <c r="A396" s="130" t="s">
        <v>784</v>
      </c>
      <c r="B396" s="278"/>
      <c r="C396" s="180" t="s">
        <v>2123</v>
      </c>
      <c r="D396" s="117" t="s">
        <v>1710</v>
      </c>
      <c r="E396" s="118" t="s">
        <v>2122</v>
      </c>
      <c r="F396" s="118" t="s">
        <v>85</v>
      </c>
      <c r="G396" s="286">
        <v>400</v>
      </c>
      <c r="H396" s="286">
        <v>400</v>
      </c>
      <c r="I396" s="287">
        <v>400</v>
      </c>
      <c r="J396" s="98"/>
      <c r="K396" s="14"/>
      <c r="L396" s="14"/>
      <c r="M396" s="14"/>
    </row>
    <row r="397" spans="1:13" ht="95.25" customHeight="1" x14ac:dyDescent="0.25">
      <c r="A397" s="130"/>
      <c r="B397" s="278"/>
      <c r="C397" s="181"/>
      <c r="D397" s="116"/>
      <c r="E397" s="118"/>
      <c r="F397" s="118"/>
      <c r="G397" s="289"/>
      <c r="H397" s="289"/>
      <c r="I397" s="290"/>
      <c r="J397" s="98"/>
      <c r="K397" s="14"/>
      <c r="L397" s="14"/>
      <c r="M397" s="14"/>
    </row>
    <row r="398" spans="1:13" ht="60.75" customHeight="1" x14ac:dyDescent="0.25">
      <c r="A398" s="130"/>
      <c r="B398" s="278"/>
      <c r="C398" s="182"/>
      <c r="D398" s="107" t="s">
        <v>753</v>
      </c>
      <c r="E398" s="107" t="s">
        <v>16</v>
      </c>
      <c r="F398" s="107" t="s">
        <v>159</v>
      </c>
      <c r="G398" s="110">
        <v>1307.2</v>
      </c>
      <c r="H398" s="110">
        <v>1307.2</v>
      </c>
      <c r="I398" s="80">
        <v>1307.2</v>
      </c>
      <c r="J398" s="98"/>
      <c r="K398" s="14"/>
      <c r="L398" s="14"/>
      <c r="M398" s="14"/>
    </row>
    <row r="399" spans="1:13" ht="90" x14ac:dyDescent="0.25">
      <c r="A399" s="130" t="s">
        <v>785</v>
      </c>
      <c r="B399" s="278"/>
      <c r="C399" s="118" t="s">
        <v>2123</v>
      </c>
      <c r="D399" s="105" t="s">
        <v>1711</v>
      </c>
      <c r="E399" s="105" t="s">
        <v>2124</v>
      </c>
      <c r="F399" s="277" t="s">
        <v>149</v>
      </c>
      <c r="G399" s="265">
        <v>600</v>
      </c>
      <c r="H399" s="265">
        <v>600</v>
      </c>
      <c r="I399" s="266">
        <v>600</v>
      </c>
      <c r="J399" s="98"/>
      <c r="K399" s="14"/>
      <c r="L399" s="14"/>
      <c r="M399" s="14"/>
    </row>
    <row r="400" spans="1:13" ht="60" x14ac:dyDescent="0.25">
      <c r="A400" s="130"/>
      <c r="B400" s="278"/>
      <c r="C400" s="130"/>
      <c r="D400" s="107" t="s">
        <v>169</v>
      </c>
      <c r="E400" s="107" t="s">
        <v>188</v>
      </c>
      <c r="F400" s="107" t="s">
        <v>159</v>
      </c>
      <c r="G400" s="110">
        <v>1908.19</v>
      </c>
      <c r="H400" s="110">
        <v>1908.19</v>
      </c>
      <c r="I400" s="80">
        <v>1908.19</v>
      </c>
      <c r="J400" s="98"/>
      <c r="K400" s="14"/>
      <c r="L400" s="14"/>
      <c r="M400" s="14"/>
    </row>
    <row r="401" spans="1:13" ht="75" x14ac:dyDescent="0.25">
      <c r="A401" s="130" t="s">
        <v>786</v>
      </c>
      <c r="B401" s="278"/>
      <c r="C401" s="118" t="s">
        <v>2123</v>
      </c>
      <c r="D401" s="105" t="s">
        <v>1711</v>
      </c>
      <c r="E401" s="105" t="s">
        <v>2125</v>
      </c>
      <c r="F401" s="277" t="s">
        <v>149</v>
      </c>
      <c r="G401" s="265">
        <v>50</v>
      </c>
      <c r="H401" s="265">
        <v>50</v>
      </c>
      <c r="I401" s="266">
        <v>50</v>
      </c>
      <c r="J401" s="98"/>
      <c r="K401" s="14"/>
      <c r="L401" s="14"/>
      <c r="M401" s="14"/>
    </row>
    <row r="402" spans="1:13" ht="60" x14ac:dyDescent="0.25">
      <c r="A402" s="130"/>
      <c r="B402" s="278"/>
      <c r="C402" s="130"/>
      <c r="D402" s="107" t="s">
        <v>753</v>
      </c>
      <c r="E402" s="107" t="s">
        <v>16</v>
      </c>
      <c r="F402" s="107" t="s">
        <v>159</v>
      </c>
      <c r="G402" s="110">
        <v>163.4</v>
      </c>
      <c r="H402" s="110">
        <v>163.4</v>
      </c>
      <c r="I402" s="80">
        <v>163.4</v>
      </c>
      <c r="J402" s="98"/>
      <c r="K402" s="14"/>
      <c r="L402" s="14"/>
      <c r="M402" s="14"/>
    </row>
    <row r="403" spans="1:13" ht="59.25" customHeight="1" x14ac:dyDescent="0.25">
      <c r="A403" s="130" t="s">
        <v>787</v>
      </c>
      <c r="B403" s="278"/>
      <c r="C403" s="118" t="s">
        <v>2123</v>
      </c>
      <c r="D403" s="105" t="s">
        <v>1711</v>
      </c>
      <c r="E403" s="105" t="s">
        <v>2126</v>
      </c>
      <c r="F403" s="277" t="s">
        <v>85</v>
      </c>
      <c r="G403" s="265">
        <v>100</v>
      </c>
      <c r="H403" s="265">
        <v>100</v>
      </c>
      <c r="I403" s="266">
        <v>100</v>
      </c>
      <c r="J403" s="98"/>
      <c r="K403" s="14"/>
      <c r="L403" s="14"/>
      <c r="M403" s="14"/>
    </row>
    <row r="404" spans="1:13" ht="60" x14ac:dyDescent="0.25">
      <c r="A404" s="130"/>
      <c r="B404" s="278"/>
      <c r="C404" s="130"/>
      <c r="D404" s="107" t="s">
        <v>753</v>
      </c>
      <c r="E404" s="107" t="s">
        <v>16</v>
      </c>
      <c r="F404" s="107" t="s">
        <v>159</v>
      </c>
      <c r="G404" s="110">
        <v>326.8</v>
      </c>
      <c r="H404" s="110">
        <v>326.8</v>
      </c>
      <c r="I404" s="80">
        <v>326.8</v>
      </c>
      <c r="J404" s="98"/>
      <c r="K404" s="14"/>
      <c r="L404" s="14"/>
      <c r="M404" s="14"/>
    </row>
    <row r="405" spans="1:13" ht="210" x14ac:dyDescent="0.25">
      <c r="A405" s="130" t="s">
        <v>788</v>
      </c>
      <c r="B405" s="278"/>
      <c r="C405" s="118" t="s">
        <v>2123</v>
      </c>
      <c r="D405" s="105" t="s">
        <v>1711</v>
      </c>
      <c r="E405" s="105" t="s">
        <v>2127</v>
      </c>
      <c r="F405" s="277" t="s">
        <v>149</v>
      </c>
      <c r="G405" s="55">
        <v>1510</v>
      </c>
      <c r="H405" s="55">
        <v>1510</v>
      </c>
      <c r="I405" s="82">
        <v>1510</v>
      </c>
      <c r="J405" s="98"/>
      <c r="K405" s="14"/>
      <c r="L405" s="14"/>
      <c r="M405" s="14"/>
    </row>
    <row r="406" spans="1:13" ht="63" customHeight="1" x14ac:dyDescent="0.25">
      <c r="A406" s="130"/>
      <c r="B406" s="278"/>
      <c r="C406" s="130"/>
      <c r="D406" s="107" t="s">
        <v>751</v>
      </c>
      <c r="E406" s="107" t="s">
        <v>16</v>
      </c>
      <c r="F406" s="107" t="s">
        <v>159</v>
      </c>
      <c r="G406" s="110">
        <v>6227.5</v>
      </c>
      <c r="H406" s="110">
        <v>6171.02</v>
      </c>
      <c r="I406" s="80">
        <v>6313.39</v>
      </c>
      <c r="J406" s="98"/>
      <c r="K406" s="14"/>
      <c r="L406" s="14"/>
      <c r="M406" s="14"/>
    </row>
    <row r="407" spans="1:13" ht="105" x14ac:dyDescent="0.25">
      <c r="A407" s="130" t="s">
        <v>789</v>
      </c>
      <c r="B407" s="278"/>
      <c r="C407" s="118" t="s">
        <v>2123</v>
      </c>
      <c r="D407" s="105" t="s">
        <v>1711</v>
      </c>
      <c r="E407" s="105" t="s">
        <v>2128</v>
      </c>
      <c r="F407" s="277" t="s">
        <v>149</v>
      </c>
      <c r="G407" s="55">
        <v>50</v>
      </c>
      <c r="H407" s="55">
        <v>50</v>
      </c>
      <c r="I407" s="82">
        <v>50</v>
      </c>
      <c r="J407" s="98"/>
      <c r="K407" s="14"/>
      <c r="L407" s="14"/>
      <c r="M407" s="14"/>
    </row>
    <row r="408" spans="1:13" ht="60" x14ac:dyDescent="0.25">
      <c r="A408" s="130"/>
      <c r="B408" s="278"/>
      <c r="C408" s="130"/>
      <c r="D408" s="107" t="s">
        <v>169</v>
      </c>
      <c r="E408" s="107" t="s">
        <v>16</v>
      </c>
      <c r="F408" s="107" t="s">
        <v>159</v>
      </c>
      <c r="G408" s="110">
        <v>163.4</v>
      </c>
      <c r="H408" s="110">
        <v>163.4</v>
      </c>
      <c r="I408" s="80">
        <v>163.4</v>
      </c>
      <c r="J408" s="98"/>
      <c r="K408" s="14"/>
      <c r="L408" s="14"/>
      <c r="M408" s="14"/>
    </row>
    <row r="409" spans="1:13" ht="60" x14ac:dyDescent="0.25">
      <c r="A409" s="130" t="s">
        <v>790</v>
      </c>
      <c r="B409" s="278"/>
      <c r="C409" s="118" t="s">
        <v>2123</v>
      </c>
      <c r="D409" s="105" t="s">
        <v>1711</v>
      </c>
      <c r="E409" s="105" t="s">
        <v>2129</v>
      </c>
      <c r="F409" s="277" t="s">
        <v>149</v>
      </c>
      <c r="G409" s="55">
        <v>2</v>
      </c>
      <c r="H409" s="55">
        <v>2</v>
      </c>
      <c r="I409" s="82">
        <v>2</v>
      </c>
      <c r="J409" s="98"/>
      <c r="K409" s="14"/>
      <c r="L409" s="14"/>
      <c r="M409" s="14"/>
    </row>
    <row r="410" spans="1:13" ht="60" x14ac:dyDescent="0.25">
      <c r="A410" s="130"/>
      <c r="B410" s="278"/>
      <c r="C410" s="130"/>
      <c r="D410" s="107" t="s">
        <v>753</v>
      </c>
      <c r="E410" s="107" t="s">
        <v>16</v>
      </c>
      <c r="F410" s="107" t="s">
        <v>159</v>
      </c>
      <c r="G410" s="110">
        <v>6.53</v>
      </c>
      <c r="H410" s="110">
        <v>6.53</v>
      </c>
      <c r="I410" s="80">
        <v>6.53</v>
      </c>
      <c r="J410" s="98"/>
      <c r="K410" s="14"/>
      <c r="L410" s="14"/>
      <c r="M410" s="14"/>
    </row>
    <row r="411" spans="1:13" ht="150" x14ac:dyDescent="0.25">
      <c r="A411" s="130" t="s">
        <v>791</v>
      </c>
      <c r="B411" s="278"/>
      <c r="C411" s="118" t="s">
        <v>2123</v>
      </c>
      <c r="D411" s="105" t="s">
        <v>1711</v>
      </c>
      <c r="E411" s="105" t="s">
        <v>2130</v>
      </c>
      <c r="F411" s="277" t="s">
        <v>85</v>
      </c>
      <c r="G411" s="55">
        <v>12</v>
      </c>
      <c r="H411" s="55">
        <v>12</v>
      </c>
      <c r="I411" s="82">
        <v>12</v>
      </c>
      <c r="J411" s="98"/>
      <c r="K411" s="14"/>
      <c r="L411" s="14"/>
      <c r="M411" s="14"/>
    </row>
    <row r="412" spans="1:13" ht="60" x14ac:dyDescent="0.25">
      <c r="A412" s="130"/>
      <c r="B412" s="278"/>
      <c r="C412" s="130"/>
      <c r="D412" s="107" t="s">
        <v>753</v>
      </c>
      <c r="E412" s="107" t="s">
        <v>16</v>
      </c>
      <c r="F412" s="107" t="s">
        <v>159</v>
      </c>
      <c r="G412" s="110">
        <v>39.21</v>
      </c>
      <c r="H412" s="110">
        <v>39.21</v>
      </c>
      <c r="I412" s="80">
        <v>39.21</v>
      </c>
      <c r="J412" s="98"/>
      <c r="K412" s="14"/>
      <c r="L412" s="14"/>
      <c r="M412" s="14"/>
    </row>
    <row r="413" spans="1:13" ht="60" x14ac:dyDescent="0.25">
      <c r="A413" s="130" t="s">
        <v>792</v>
      </c>
      <c r="B413" s="278"/>
      <c r="C413" s="118" t="s">
        <v>2123</v>
      </c>
      <c r="D413" s="105" t="s">
        <v>1711</v>
      </c>
      <c r="E413" s="105" t="s">
        <v>2131</v>
      </c>
      <c r="F413" s="277" t="s">
        <v>149</v>
      </c>
      <c r="G413" s="55">
        <v>5</v>
      </c>
      <c r="H413" s="55">
        <v>12</v>
      </c>
      <c r="I413" s="82">
        <v>12</v>
      </c>
      <c r="J413" s="98"/>
      <c r="K413" s="14"/>
      <c r="L413" s="14"/>
      <c r="M413" s="14"/>
    </row>
    <row r="414" spans="1:13" ht="60" x14ac:dyDescent="0.25">
      <c r="A414" s="130"/>
      <c r="B414" s="278"/>
      <c r="C414" s="130"/>
      <c r="D414" s="107" t="s">
        <v>753</v>
      </c>
      <c r="E414" s="107" t="s">
        <v>16</v>
      </c>
      <c r="F414" s="107" t="s">
        <v>159</v>
      </c>
      <c r="G414" s="110">
        <v>16.34</v>
      </c>
      <c r="H414" s="110">
        <v>16.34</v>
      </c>
      <c r="I414" s="80">
        <v>16.34</v>
      </c>
      <c r="J414" s="98"/>
      <c r="K414" s="14"/>
      <c r="L414" s="14"/>
      <c r="M414" s="14"/>
    </row>
    <row r="415" spans="1:13" ht="135" x14ac:dyDescent="0.25">
      <c r="A415" s="130" t="s">
        <v>793</v>
      </c>
      <c r="B415" s="278"/>
      <c r="C415" s="118" t="s">
        <v>2123</v>
      </c>
      <c r="D415" s="105" t="s">
        <v>1711</v>
      </c>
      <c r="E415" s="105" t="s">
        <v>2132</v>
      </c>
      <c r="F415" s="277" t="s">
        <v>149</v>
      </c>
      <c r="G415" s="55">
        <v>6</v>
      </c>
      <c r="H415" s="55">
        <v>6</v>
      </c>
      <c r="I415" s="82">
        <v>6</v>
      </c>
      <c r="J415" s="98"/>
      <c r="K415" s="14"/>
      <c r="L415" s="14"/>
      <c r="M415" s="14"/>
    </row>
    <row r="416" spans="1:13" ht="60" x14ac:dyDescent="0.25">
      <c r="A416" s="130"/>
      <c r="B416" s="306"/>
      <c r="C416" s="130"/>
      <c r="D416" s="107" t="s">
        <v>753</v>
      </c>
      <c r="E416" s="107" t="s">
        <v>16</v>
      </c>
      <c r="F416" s="107" t="s">
        <v>159</v>
      </c>
      <c r="G416" s="110">
        <v>19.600000000000001</v>
      </c>
      <c r="H416" s="110">
        <v>19.600000000000001</v>
      </c>
      <c r="I416" s="80">
        <v>19.600000000000001</v>
      </c>
      <c r="J416" s="98"/>
      <c r="K416" s="14"/>
      <c r="L416" s="14"/>
      <c r="M416" s="14"/>
    </row>
    <row r="417" spans="1:13" ht="27.75" customHeight="1" x14ac:dyDescent="0.25">
      <c r="A417" s="307" t="s">
        <v>755</v>
      </c>
      <c r="B417" s="308"/>
      <c r="C417" s="308"/>
      <c r="D417" s="309"/>
      <c r="E417" s="128" t="s">
        <v>17</v>
      </c>
      <c r="F417" s="128" t="s">
        <v>6</v>
      </c>
      <c r="G417" s="63">
        <f>G416+G414+G412+G410+G408+G406+G404+G402+G398+G395+G393+G390+G388+G386+G384+G377+G375+G373+G366+G362+G359+G357+G354+G350+G343+G338+G330+G328+G322+G320+G400</f>
        <v>19292.599999999999</v>
      </c>
      <c r="H417" s="63">
        <f>H414+H412+H410+H408+H406+H404+H402+H400+H398+H395+H393+H390+H388+H386+H384+H377+H375+H373+H366+H362+H359+H357+H354+H350+H343+H338+H330+H328+H322+H320+H416</f>
        <v>19005.599999999999</v>
      </c>
      <c r="I417" s="310">
        <f>I416+I414+I412+I410+I408+I406+I404+I402+I400+I398+I395+I393+I390+I388+I386+I384+I377+I375+I373+I366+I362+I359+I357+I354+I350+I343+I338+I330+I328+I320+I322</f>
        <v>19153.190000000002</v>
      </c>
      <c r="J417" s="98"/>
      <c r="K417" s="14"/>
      <c r="L417" s="14"/>
      <c r="M417" s="14"/>
    </row>
    <row r="418" spans="1:13" ht="41.25" customHeight="1" x14ac:dyDescent="0.25">
      <c r="A418" s="262" t="s">
        <v>756</v>
      </c>
      <c r="B418" s="262"/>
      <c r="C418" s="262"/>
      <c r="D418" s="262"/>
      <c r="E418" s="129"/>
      <c r="F418" s="129"/>
      <c r="G418" s="311">
        <f>SUM(G417,G318)</f>
        <v>871868.00000000012</v>
      </c>
      <c r="H418" s="311">
        <f>SUM(H417,H318)</f>
        <v>1153322.1000000001</v>
      </c>
      <c r="I418" s="312">
        <f>SUM(I417,I318)+0.05</f>
        <v>1004304.8800000001</v>
      </c>
      <c r="J418" s="98"/>
      <c r="K418" s="14"/>
      <c r="L418" s="14"/>
      <c r="M418" s="14"/>
    </row>
    <row r="419" spans="1:13" s="53" customFormat="1" ht="15.75" x14ac:dyDescent="0.25">
      <c r="A419" s="138" t="s">
        <v>518</v>
      </c>
      <c r="B419" s="139"/>
      <c r="C419" s="139"/>
      <c r="D419" s="139"/>
      <c r="E419" s="139"/>
      <c r="F419" s="139"/>
      <c r="G419" s="139"/>
      <c r="H419" s="139"/>
      <c r="I419" s="139"/>
      <c r="J419" s="98"/>
      <c r="K419" s="52"/>
      <c r="L419" s="52"/>
      <c r="M419" s="52"/>
    </row>
    <row r="420" spans="1:13" ht="60" x14ac:dyDescent="0.25">
      <c r="A420" s="116" t="s">
        <v>796</v>
      </c>
      <c r="B420" s="122" t="s">
        <v>799</v>
      </c>
      <c r="C420" s="116" t="s">
        <v>2153</v>
      </c>
      <c r="D420" s="107" t="s">
        <v>1712</v>
      </c>
      <c r="E420" s="107" t="s">
        <v>2155</v>
      </c>
      <c r="F420" s="107" t="s">
        <v>80</v>
      </c>
      <c r="G420" s="55">
        <v>540</v>
      </c>
      <c r="H420" s="55">
        <v>540</v>
      </c>
      <c r="I420" s="82">
        <v>540</v>
      </c>
      <c r="J420" s="98"/>
      <c r="K420" s="14"/>
      <c r="L420" s="14"/>
      <c r="M420" s="14"/>
    </row>
    <row r="421" spans="1:13" ht="60" x14ac:dyDescent="0.25">
      <c r="A421" s="117"/>
      <c r="B421" s="123"/>
      <c r="C421" s="117"/>
      <c r="D421" s="107" t="s">
        <v>795</v>
      </c>
      <c r="E421" s="107" t="s">
        <v>16</v>
      </c>
      <c r="F421" s="107" t="s">
        <v>6</v>
      </c>
      <c r="G421" s="110">
        <v>48114.335214089901</v>
      </c>
      <c r="H421" s="110">
        <f>51423557.5/1000</f>
        <v>51423.557500000003</v>
      </c>
      <c r="I421" s="80">
        <f>50288888.16/1000</f>
        <v>50288.888159999995</v>
      </c>
      <c r="J421" s="98"/>
      <c r="K421" s="14"/>
      <c r="L421" s="14"/>
      <c r="M421" s="14"/>
    </row>
    <row r="422" spans="1:13" ht="60" x14ac:dyDescent="0.25">
      <c r="A422" s="116" t="s">
        <v>797</v>
      </c>
      <c r="B422" s="123"/>
      <c r="C422" s="116" t="s">
        <v>2153</v>
      </c>
      <c r="D422" s="107" t="s">
        <v>1713</v>
      </c>
      <c r="E422" s="107" t="s">
        <v>2154</v>
      </c>
      <c r="F422" s="107" t="s">
        <v>80</v>
      </c>
      <c r="G422" s="55">
        <v>190</v>
      </c>
      <c r="H422" s="55">
        <v>190</v>
      </c>
      <c r="I422" s="82">
        <v>186</v>
      </c>
      <c r="J422" s="98"/>
      <c r="K422" s="14"/>
      <c r="L422" s="14"/>
      <c r="M422" s="14"/>
    </row>
    <row r="423" spans="1:13" ht="60" x14ac:dyDescent="0.25">
      <c r="A423" s="117"/>
      <c r="B423" s="123"/>
      <c r="C423" s="117"/>
      <c r="D423" s="107" t="s">
        <v>795</v>
      </c>
      <c r="E423" s="107" t="s">
        <v>16</v>
      </c>
      <c r="F423" s="107" t="s">
        <v>6</v>
      </c>
      <c r="G423" s="110">
        <v>18412.406071590078</v>
      </c>
      <c r="H423" s="110">
        <f>19678780.1/1000</f>
        <v>19678.7801</v>
      </c>
      <c r="I423" s="80">
        <f>19201127.31/1000</f>
        <v>19201.12731</v>
      </c>
      <c r="J423" s="98"/>
      <c r="K423" s="14"/>
      <c r="L423" s="14"/>
      <c r="M423" s="14"/>
    </row>
    <row r="424" spans="1:13" ht="75" x14ac:dyDescent="0.25">
      <c r="A424" s="116" t="s">
        <v>798</v>
      </c>
      <c r="B424" s="123"/>
      <c r="C424" s="116" t="s">
        <v>2153</v>
      </c>
      <c r="D424" s="107" t="s">
        <v>1714</v>
      </c>
      <c r="E424" s="107" t="s">
        <v>2156</v>
      </c>
      <c r="F424" s="107" t="s">
        <v>80</v>
      </c>
      <c r="G424" s="55">
        <v>193</v>
      </c>
      <c r="H424" s="55">
        <v>193</v>
      </c>
      <c r="I424" s="82">
        <v>192</v>
      </c>
      <c r="J424" s="98"/>
      <c r="K424" s="14"/>
      <c r="L424" s="14"/>
      <c r="M424" s="14"/>
    </row>
    <row r="425" spans="1:13" ht="60" x14ac:dyDescent="0.25">
      <c r="A425" s="117"/>
      <c r="B425" s="123"/>
      <c r="C425" s="117"/>
      <c r="D425" s="107" t="s">
        <v>795</v>
      </c>
      <c r="E425" s="107" t="s">
        <v>16</v>
      </c>
      <c r="F425" s="107" t="s">
        <v>68</v>
      </c>
      <c r="G425" s="110">
        <v>18548.207368927178</v>
      </c>
      <c r="H425" s="110">
        <v>19823.921579999998</v>
      </c>
      <c r="I425" s="80">
        <v>19746.681210000002</v>
      </c>
      <c r="J425" s="98"/>
      <c r="K425" s="14"/>
      <c r="L425" s="14"/>
      <c r="M425" s="14"/>
    </row>
    <row r="426" spans="1:13" ht="60" x14ac:dyDescent="0.25">
      <c r="A426" s="116" t="s">
        <v>852</v>
      </c>
      <c r="B426" s="123"/>
      <c r="C426" s="116" t="s">
        <v>2153</v>
      </c>
      <c r="D426" s="107" t="s">
        <v>1715</v>
      </c>
      <c r="E426" s="107" t="s">
        <v>2157</v>
      </c>
      <c r="F426" s="107" t="s">
        <v>80</v>
      </c>
      <c r="G426" s="55">
        <v>105</v>
      </c>
      <c r="H426" s="55">
        <v>105</v>
      </c>
      <c r="I426" s="82">
        <v>103</v>
      </c>
      <c r="J426" s="98"/>
      <c r="K426" s="14"/>
      <c r="L426" s="14"/>
      <c r="M426" s="14"/>
    </row>
    <row r="427" spans="1:13" ht="60" x14ac:dyDescent="0.25">
      <c r="A427" s="117"/>
      <c r="B427" s="123"/>
      <c r="C427" s="117"/>
      <c r="D427" s="107" t="s">
        <v>795</v>
      </c>
      <c r="E427" s="107" t="s">
        <v>16</v>
      </c>
      <c r="F427" s="107" t="s">
        <v>6</v>
      </c>
      <c r="G427" s="110">
        <v>9987.9389470744154</v>
      </c>
      <c r="H427" s="110">
        <v>10674.89243</v>
      </c>
      <c r="I427" s="80">
        <v>10598.428940000002</v>
      </c>
      <c r="J427" s="98"/>
      <c r="K427" s="14"/>
      <c r="L427" s="14"/>
      <c r="M427" s="14"/>
    </row>
    <row r="428" spans="1:13" ht="75" x14ac:dyDescent="0.25">
      <c r="A428" s="116" t="s">
        <v>853</v>
      </c>
      <c r="B428" s="123"/>
      <c r="C428" s="116" t="s">
        <v>2153</v>
      </c>
      <c r="D428" s="107" t="s">
        <v>1716</v>
      </c>
      <c r="E428" s="107" t="s">
        <v>2159</v>
      </c>
      <c r="F428" s="107" t="s">
        <v>80</v>
      </c>
      <c r="G428" s="55">
        <v>34</v>
      </c>
      <c r="H428" s="55">
        <v>34</v>
      </c>
      <c r="I428" s="82">
        <v>37</v>
      </c>
      <c r="J428" s="98"/>
      <c r="K428" s="14"/>
      <c r="L428" s="14"/>
      <c r="M428" s="14"/>
    </row>
    <row r="429" spans="1:13" ht="60" x14ac:dyDescent="0.25">
      <c r="A429" s="117"/>
      <c r="B429" s="123"/>
      <c r="C429" s="117"/>
      <c r="D429" s="107" t="s">
        <v>794</v>
      </c>
      <c r="E429" s="107" t="s">
        <v>16</v>
      </c>
      <c r="F429" s="107" t="s">
        <v>6</v>
      </c>
      <c r="G429" s="110">
        <v>4421.8476557941667</v>
      </c>
      <c r="H429" s="110">
        <f>4725974.83/1000</f>
        <v>4725.9748300000001</v>
      </c>
      <c r="I429" s="80">
        <f>5244612.39/1000</f>
        <v>5244.6123899999993</v>
      </c>
      <c r="J429" s="98"/>
      <c r="K429" s="14"/>
      <c r="L429" s="14"/>
      <c r="M429" s="14"/>
    </row>
    <row r="430" spans="1:13" ht="60" x14ac:dyDescent="0.25">
      <c r="A430" s="116" t="s">
        <v>854</v>
      </c>
      <c r="B430" s="123"/>
      <c r="C430" s="116" t="s">
        <v>2153</v>
      </c>
      <c r="D430" s="107" t="s">
        <v>1717</v>
      </c>
      <c r="E430" s="107" t="s">
        <v>2158</v>
      </c>
      <c r="F430" s="107" t="s">
        <v>80</v>
      </c>
      <c r="G430" s="55">
        <v>290</v>
      </c>
      <c r="H430" s="55">
        <v>290</v>
      </c>
      <c r="I430" s="82">
        <v>292</v>
      </c>
      <c r="J430" s="98"/>
      <c r="K430" s="14"/>
      <c r="L430" s="14"/>
      <c r="M430" s="14"/>
    </row>
    <row r="431" spans="1:13" ht="60" x14ac:dyDescent="0.25">
      <c r="A431" s="117"/>
      <c r="B431" s="123"/>
      <c r="C431" s="117"/>
      <c r="D431" s="107" t="s">
        <v>795</v>
      </c>
      <c r="E431" s="107" t="s">
        <v>16</v>
      </c>
      <c r="F431" s="107" t="s">
        <v>6</v>
      </c>
      <c r="G431" s="110">
        <v>24411.419381461026</v>
      </c>
      <c r="H431" s="110">
        <v>26090.395359999999</v>
      </c>
      <c r="I431" s="80">
        <v>26027.82285</v>
      </c>
      <c r="J431" s="98"/>
      <c r="K431" s="14"/>
      <c r="L431" s="14"/>
      <c r="M431" s="14"/>
    </row>
    <row r="432" spans="1:13" ht="60" x14ac:dyDescent="0.25">
      <c r="A432" s="116" t="s">
        <v>855</v>
      </c>
      <c r="B432" s="123"/>
      <c r="C432" s="116" t="s">
        <v>2153</v>
      </c>
      <c r="D432" s="107" t="s">
        <v>1718</v>
      </c>
      <c r="E432" s="107" t="s">
        <v>2160</v>
      </c>
      <c r="F432" s="107" t="s">
        <v>80</v>
      </c>
      <c r="G432" s="55">
        <v>200</v>
      </c>
      <c r="H432" s="55">
        <v>200</v>
      </c>
      <c r="I432" s="82">
        <v>196</v>
      </c>
      <c r="J432" s="98"/>
      <c r="K432" s="14"/>
      <c r="L432" s="14"/>
      <c r="M432" s="14"/>
    </row>
    <row r="433" spans="1:13" ht="60" x14ac:dyDescent="0.25">
      <c r="A433" s="117"/>
      <c r="B433" s="123"/>
      <c r="C433" s="117"/>
      <c r="D433" s="107" t="s">
        <v>795</v>
      </c>
      <c r="E433" s="107" t="s">
        <v>16</v>
      </c>
      <c r="F433" s="107" t="s">
        <v>6</v>
      </c>
      <c r="G433" s="110">
        <v>14564.212623368236</v>
      </c>
      <c r="H433" s="110">
        <v>15565.914439999999</v>
      </c>
      <c r="I433" s="80">
        <v>15942.692739999999</v>
      </c>
      <c r="J433" s="98"/>
      <c r="K433" s="14"/>
      <c r="L433" s="14"/>
      <c r="M433" s="14"/>
    </row>
    <row r="434" spans="1:13" ht="60" x14ac:dyDescent="0.25">
      <c r="A434" s="116" t="s">
        <v>856</v>
      </c>
      <c r="B434" s="123"/>
      <c r="C434" s="116" t="s">
        <v>2153</v>
      </c>
      <c r="D434" s="107" t="s">
        <v>1719</v>
      </c>
      <c r="E434" s="107" t="s">
        <v>2161</v>
      </c>
      <c r="F434" s="107" t="s">
        <v>80</v>
      </c>
      <c r="G434" s="55">
        <v>131</v>
      </c>
      <c r="H434" s="55">
        <v>131</v>
      </c>
      <c r="I434" s="82">
        <v>131</v>
      </c>
      <c r="J434" s="98"/>
      <c r="K434" s="14"/>
      <c r="L434" s="14"/>
      <c r="M434" s="14"/>
    </row>
    <row r="435" spans="1:13" ht="60" x14ac:dyDescent="0.25">
      <c r="A435" s="117"/>
      <c r="B435" s="123"/>
      <c r="C435" s="117"/>
      <c r="D435" s="107" t="s">
        <v>795</v>
      </c>
      <c r="E435" s="107" t="s">
        <v>16</v>
      </c>
      <c r="F435" s="107" t="s">
        <v>6</v>
      </c>
      <c r="G435" s="110">
        <v>11978.488030721461</v>
      </c>
      <c r="H435" s="110">
        <v>12802.348099999999</v>
      </c>
      <c r="I435" s="80">
        <v>12949.835110000004</v>
      </c>
      <c r="J435" s="98"/>
      <c r="K435" s="14"/>
      <c r="L435" s="14"/>
      <c r="M435" s="14"/>
    </row>
    <row r="436" spans="1:13" ht="60" x14ac:dyDescent="0.25">
      <c r="A436" s="116" t="s">
        <v>857</v>
      </c>
      <c r="B436" s="123"/>
      <c r="C436" s="116" t="s">
        <v>2153</v>
      </c>
      <c r="D436" s="107" t="s">
        <v>1720</v>
      </c>
      <c r="E436" s="107" t="s">
        <v>2162</v>
      </c>
      <c r="F436" s="107" t="s">
        <v>80</v>
      </c>
      <c r="G436" s="55">
        <v>829</v>
      </c>
      <c r="H436" s="55">
        <v>829</v>
      </c>
      <c r="I436" s="82">
        <v>826</v>
      </c>
      <c r="J436" s="98"/>
      <c r="K436" s="14"/>
      <c r="L436" s="14"/>
      <c r="M436" s="14"/>
    </row>
    <row r="437" spans="1:13" ht="60" x14ac:dyDescent="0.25">
      <c r="A437" s="117"/>
      <c r="B437" s="123"/>
      <c r="C437" s="117"/>
      <c r="D437" s="107" t="s">
        <v>794</v>
      </c>
      <c r="E437" s="107" t="s">
        <v>16</v>
      </c>
      <c r="F437" s="107" t="s">
        <v>6</v>
      </c>
      <c r="G437" s="110">
        <v>66363.452033225869</v>
      </c>
      <c r="H437" s="110">
        <v>70927.817590000006</v>
      </c>
      <c r="I437" s="80">
        <v>71412.599000000002</v>
      </c>
      <c r="J437" s="98"/>
      <c r="K437" s="14"/>
      <c r="L437" s="14"/>
      <c r="M437" s="14"/>
    </row>
    <row r="438" spans="1:13" ht="60" x14ac:dyDescent="0.25">
      <c r="A438" s="116" t="s">
        <v>858</v>
      </c>
      <c r="B438" s="123"/>
      <c r="C438" s="116" t="s">
        <v>2153</v>
      </c>
      <c r="D438" s="107" t="s">
        <v>1721</v>
      </c>
      <c r="E438" s="107" t="s">
        <v>2162</v>
      </c>
      <c r="F438" s="107" t="s">
        <v>80</v>
      </c>
      <c r="G438" s="55">
        <v>41</v>
      </c>
      <c r="H438" s="55">
        <v>41</v>
      </c>
      <c r="I438" s="82">
        <v>38</v>
      </c>
      <c r="J438" s="98"/>
      <c r="K438" s="14"/>
      <c r="L438" s="14"/>
      <c r="M438" s="14"/>
    </row>
    <row r="439" spans="1:13" ht="60" x14ac:dyDescent="0.25">
      <c r="A439" s="117"/>
      <c r="B439" s="123"/>
      <c r="C439" s="117"/>
      <c r="D439" s="107" t="s">
        <v>795</v>
      </c>
      <c r="E439" s="107" t="s">
        <v>16</v>
      </c>
      <c r="F439" s="107" t="s">
        <v>6</v>
      </c>
      <c r="G439" s="110">
        <v>2896.3115210368969</v>
      </c>
      <c r="H439" s="110">
        <v>3095.5149100000003</v>
      </c>
      <c r="I439" s="80">
        <v>3037.0348899999999</v>
      </c>
      <c r="J439" s="98"/>
      <c r="K439" s="14"/>
      <c r="L439" s="14"/>
      <c r="M439" s="14"/>
    </row>
    <row r="440" spans="1:13" ht="60" x14ac:dyDescent="0.25">
      <c r="A440" s="116" t="s">
        <v>859</v>
      </c>
      <c r="B440" s="123"/>
      <c r="C440" s="116" t="s">
        <v>2153</v>
      </c>
      <c r="D440" s="107" t="s">
        <v>1719</v>
      </c>
      <c r="E440" s="107" t="s">
        <v>2161</v>
      </c>
      <c r="F440" s="107" t="s">
        <v>80</v>
      </c>
      <c r="G440" s="55">
        <v>8</v>
      </c>
      <c r="H440" s="55">
        <v>8</v>
      </c>
      <c r="I440" s="82">
        <v>8</v>
      </c>
      <c r="J440" s="98"/>
      <c r="K440" s="14"/>
      <c r="L440" s="14"/>
      <c r="M440" s="14"/>
    </row>
    <row r="441" spans="1:13" ht="60" x14ac:dyDescent="0.25">
      <c r="A441" s="117"/>
      <c r="B441" s="123"/>
      <c r="C441" s="117"/>
      <c r="D441" s="107" t="s">
        <v>801</v>
      </c>
      <c r="E441" s="107" t="s">
        <v>16</v>
      </c>
      <c r="F441" s="107" t="s">
        <v>6</v>
      </c>
      <c r="G441" s="110">
        <v>665.30914648847022</v>
      </c>
      <c r="H441" s="110">
        <v>711.06798000000003</v>
      </c>
      <c r="I441" s="80">
        <v>710.90028000000007</v>
      </c>
      <c r="J441" s="98"/>
      <c r="K441" s="14"/>
      <c r="L441" s="14"/>
      <c r="M441" s="14"/>
    </row>
    <row r="442" spans="1:13" ht="60" x14ac:dyDescent="0.25">
      <c r="A442" s="116" t="s">
        <v>860</v>
      </c>
      <c r="B442" s="123"/>
      <c r="C442" s="116" t="s">
        <v>2153</v>
      </c>
      <c r="D442" s="107" t="s">
        <v>1720</v>
      </c>
      <c r="E442" s="107" t="s">
        <v>2163</v>
      </c>
      <c r="F442" s="107" t="s">
        <v>80</v>
      </c>
      <c r="G442" s="55">
        <v>120</v>
      </c>
      <c r="H442" s="55">
        <v>120</v>
      </c>
      <c r="I442" s="82">
        <v>120</v>
      </c>
      <c r="J442" s="98"/>
      <c r="K442" s="14"/>
      <c r="L442" s="14"/>
      <c r="M442" s="14"/>
    </row>
    <row r="443" spans="1:13" ht="60" x14ac:dyDescent="0.25">
      <c r="A443" s="117"/>
      <c r="B443" s="123"/>
      <c r="C443" s="117"/>
      <c r="D443" s="107" t="s">
        <v>801</v>
      </c>
      <c r="E443" s="107" t="s">
        <v>16</v>
      </c>
      <c r="F443" s="107" t="s">
        <v>6</v>
      </c>
      <c r="G443" s="110">
        <v>6320.4540916392307</v>
      </c>
      <c r="H443" s="110">
        <v>14928.823509999991</v>
      </c>
      <c r="I443" s="80">
        <v>14911.69937</v>
      </c>
      <c r="J443" s="98"/>
      <c r="K443" s="14"/>
      <c r="L443" s="14"/>
      <c r="M443" s="14"/>
    </row>
    <row r="444" spans="1:13" ht="60" x14ac:dyDescent="0.25">
      <c r="A444" s="116" t="s">
        <v>861</v>
      </c>
      <c r="B444" s="123"/>
      <c r="C444" s="116" t="s">
        <v>2165</v>
      </c>
      <c r="D444" s="107" t="s">
        <v>1722</v>
      </c>
      <c r="E444" s="107" t="s">
        <v>2164</v>
      </c>
      <c r="F444" s="107" t="s">
        <v>80</v>
      </c>
      <c r="G444" s="55">
        <v>291</v>
      </c>
      <c r="H444" s="55">
        <v>291</v>
      </c>
      <c r="I444" s="82">
        <v>292</v>
      </c>
      <c r="J444" s="98"/>
      <c r="K444" s="14"/>
      <c r="L444" s="14"/>
      <c r="M444" s="14"/>
    </row>
    <row r="445" spans="1:13" ht="60" x14ac:dyDescent="0.25">
      <c r="A445" s="117"/>
      <c r="B445" s="123"/>
      <c r="C445" s="117"/>
      <c r="D445" s="107" t="s">
        <v>795</v>
      </c>
      <c r="E445" s="107" t="s">
        <v>16</v>
      </c>
      <c r="F445" s="107" t="s">
        <v>6</v>
      </c>
      <c r="G445" s="110">
        <v>24459.398938957693</v>
      </c>
      <c r="H445" s="110">
        <v>26141.674869999999</v>
      </c>
      <c r="I445" s="80">
        <v>25849.495060000001</v>
      </c>
      <c r="J445" s="98"/>
      <c r="K445" s="14"/>
      <c r="L445" s="14"/>
      <c r="M445" s="14"/>
    </row>
    <row r="446" spans="1:13" ht="60" x14ac:dyDescent="0.25">
      <c r="A446" s="116" t="s">
        <v>862</v>
      </c>
      <c r="B446" s="123"/>
      <c r="C446" s="116" t="s">
        <v>2165</v>
      </c>
      <c r="D446" s="107" t="s">
        <v>1722</v>
      </c>
      <c r="E446" s="107" t="s">
        <v>2164</v>
      </c>
      <c r="F446" s="107" t="s">
        <v>80</v>
      </c>
      <c r="G446" s="55">
        <v>62</v>
      </c>
      <c r="H446" s="55">
        <v>62</v>
      </c>
      <c r="I446" s="82">
        <v>62</v>
      </c>
      <c r="J446" s="98"/>
      <c r="K446" s="14"/>
      <c r="L446" s="14"/>
      <c r="M446" s="14"/>
    </row>
    <row r="447" spans="1:13" ht="60" x14ac:dyDescent="0.25">
      <c r="A447" s="117"/>
      <c r="B447" s="123"/>
      <c r="C447" s="117"/>
      <c r="D447" s="107" t="s">
        <v>801</v>
      </c>
      <c r="E447" s="107" t="s">
        <v>16</v>
      </c>
      <c r="F447" s="107" t="s">
        <v>6</v>
      </c>
      <c r="G447" s="110">
        <v>4724.8949756577458</v>
      </c>
      <c r="H447" s="110">
        <v>5049.8652300000003</v>
      </c>
      <c r="I447" s="80">
        <v>5049.8652300000003</v>
      </c>
      <c r="J447" s="98"/>
      <c r="K447" s="14"/>
      <c r="L447" s="14"/>
      <c r="M447" s="14"/>
    </row>
    <row r="448" spans="1:13" ht="60" x14ac:dyDescent="0.25">
      <c r="A448" s="116" t="s">
        <v>863</v>
      </c>
      <c r="B448" s="123"/>
      <c r="C448" s="116" t="s">
        <v>2153</v>
      </c>
      <c r="D448" s="107" t="s">
        <v>1723</v>
      </c>
      <c r="E448" s="107" t="s">
        <v>2166</v>
      </c>
      <c r="F448" s="107" t="s">
        <v>80</v>
      </c>
      <c r="G448" s="55">
        <v>62</v>
      </c>
      <c r="H448" s="55">
        <v>62</v>
      </c>
      <c r="I448" s="82">
        <v>63</v>
      </c>
      <c r="J448" s="98"/>
      <c r="K448" s="14"/>
      <c r="L448" s="14"/>
      <c r="M448" s="14"/>
    </row>
    <row r="449" spans="1:13" ht="60" x14ac:dyDescent="0.25">
      <c r="A449" s="117"/>
      <c r="B449" s="123"/>
      <c r="C449" s="117"/>
      <c r="D449" s="107" t="s">
        <v>795</v>
      </c>
      <c r="E449" s="107" t="s">
        <v>16</v>
      </c>
      <c r="F449" s="107" t="s">
        <v>6</v>
      </c>
      <c r="G449" s="110">
        <v>4404.6580478438991</v>
      </c>
      <c r="H449" s="110">
        <v>4707.6029500000004</v>
      </c>
      <c r="I449" s="80">
        <v>4652.7420999999995</v>
      </c>
      <c r="J449" s="98"/>
      <c r="K449" s="14"/>
      <c r="L449" s="14"/>
      <c r="M449" s="14"/>
    </row>
    <row r="450" spans="1:13" ht="60" x14ac:dyDescent="0.25">
      <c r="A450" s="116" t="s">
        <v>864</v>
      </c>
      <c r="B450" s="123"/>
      <c r="C450" s="116" t="s">
        <v>2153</v>
      </c>
      <c r="D450" s="107" t="s">
        <v>1724</v>
      </c>
      <c r="E450" s="107" t="s">
        <v>2167</v>
      </c>
      <c r="F450" s="107" t="s">
        <v>80</v>
      </c>
      <c r="G450" s="55">
        <v>125</v>
      </c>
      <c r="H450" s="55">
        <v>125</v>
      </c>
      <c r="I450" s="82">
        <v>125</v>
      </c>
      <c r="J450" s="98"/>
      <c r="K450" s="14"/>
      <c r="L450" s="14"/>
      <c r="M450" s="14"/>
    </row>
    <row r="451" spans="1:13" ht="60" x14ac:dyDescent="0.25">
      <c r="A451" s="117"/>
      <c r="B451" s="123"/>
      <c r="C451" s="117"/>
      <c r="D451" s="107" t="s">
        <v>794</v>
      </c>
      <c r="E451" s="107" t="s">
        <v>16</v>
      </c>
      <c r="F451" s="107" t="s">
        <v>6</v>
      </c>
      <c r="G451" s="110">
        <v>8880.3589675781259</v>
      </c>
      <c r="H451" s="110">
        <v>9491.1349800000007</v>
      </c>
      <c r="I451" s="80">
        <v>9231.6311600000008</v>
      </c>
      <c r="J451" s="98"/>
      <c r="K451" s="14"/>
      <c r="L451" s="14"/>
      <c r="M451" s="14"/>
    </row>
    <row r="452" spans="1:13" ht="60" x14ac:dyDescent="0.25">
      <c r="A452" s="116" t="s">
        <v>865</v>
      </c>
      <c r="B452" s="123"/>
      <c r="C452" s="116" t="s">
        <v>2165</v>
      </c>
      <c r="D452" s="107" t="s">
        <v>1725</v>
      </c>
      <c r="E452" s="107" t="s">
        <v>2168</v>
      </c>
      <c r="F452" s="107" t="s">
        <v>80</v>
      </c>
      <c r="G452" s="55">
        <v>47</v>
      </c>
      <c r="H452" s="55">
        <v>47</v>
      </c>
      <c r="I452" s="82">
        <v>48</v>
      </c>
      <c r="J452" s="98"/>
      <c r="K452" s="14"/>
      <c r="L452" s="14"/>
      <c r="M452" s="14"/>
    </row>
    <row r="453" spans="1:13" ht="60" x14ac:dyDescent="0.25">
      <c r="A453" s="117"/>
      <c r="B453" s="123"/>
      <c r="C453" s="117"/>
      <c r="D453" s="107" t="s">
        <v>795</v>
      </c>
      <c r="E453" s="107" t="s">
        <v>16</v>
      </c>
      <c r="F453" s="107" t="s">
        <v>6</v>
      </c>
      <c r="G453" s="110">
        <v>3339.0149694889687</v>
      </c>
      <c r="H453" s="110">
        <v>3568.6667499999999</v>
      </c>
      <c r="I453" s="80">
        <v>3544.9463700000001</v>
      </c>
      <c r="J453" s="98"/>
      <c r="K453" s="14"/>
      <c r="L453" s="14"/>
      <c r="M453" s="14"/>
    </row>
    <row r="454" spans="1:13" ht="60" x14ac:dyDescent="0.25">
      <c r="A454" s="116" t="s">
        <v>866</v>
      </c>
      <c r="B454" s="123"/>
      <c r="C454" s="116" t="s">
        <v>2165</v>
      </c>
      <c r="D454" s="107" t="s">
        <v>1726</v>
      </c>
      <c r="E454" s="107" t="s">
        <v>2169</v>
      </c>
      <c r="F454" s="107" t="s">
        <v>80</v>
      </c>
      <c r="G454" s="55">
        <v>79</v>
      </c>
      <c r="H454" s="55">
        <v>79</v>
      </c>
      <c r="I454" s="82">
        <v>79</v>
      </c>
      <c r="J454" s="98"/>
      <c r="K454" s="14"/>
      <c r="L454" s="14"/>
      <c r="M454" s="14"/>
    </row>
    <row r="455" spans="1:13" ht="60" x14ac:dyDescent="0.25">
      <c r="A455" s="117"/>
      <c r="B455" s="123"/>
      <c r="C455" s="117"/>
      <c r="D455" s="107" t="s">
        <v>795</v>
      </c>
      <c r="E455" s="107" t="s">
        <v>16</v>
      </c>
      <c r="F455" s="107" t="s">
        <v>6</v>
      </c>
      <c r="G455" s="110">
        <v>5612.3868699794848</v>
      </c>
      <c r="H455" s="110">
        <v>5998.3973099999994</v>
      </c>
      <c r="I455" s="80">
        <v>5834.3908899999997</v>
      </c>
      <c r="J455" s="98"/>
      <c r="K455" s="14"/>
      <c r="L455" s="14"/>
      <c r="M455" s="14"/>
    </row>
    <row r="456" spans="1:13" ht="60" x14ac:dyDescent="0.25">
      <c r="A456" s="116" t="s">
        <v>867</v>
      </c>
      <c r="B456" s="123"/>
      <c r="C456" s="116" t="s">
        <v>2165</v>
      </c>
      <c r="D456" s="107" t="s">
        <v>1727</v>
      </c>
      <c r="E456" s="107" t="s">
        <v>2170</v>
      </c>
      <c r="F456" s="107" t="s">
        <v>80</v>
      </c>
      <c r="G456" s="55">
        <v>82</v>
      </c>
      <c r="H456" s="55">
        <v>82</v>
      </c>
      <c r="I456" s="82">
        <v>82</v>
      </c>
      <c r="J456" s="98"/>
      <c r="K456" s="14"/>
      <c r="L456" s="14"/>
      <c r="M456" s="14"/>
    </row>
    <row r="457" spans="1:13" ht="60" x14ac:dyDescent="0.25">
      <c r="A457" s="117"/>
      <c r="B457" s="123"/>
      <c r="C457" s="117"/>
      <c r="D457" s="107" t="s">
        <v>795</v>
      </c>
      <c r="E457" s="107" t="s">
        <v>16</v>
      </c>
      <c r="F457" s="107" t="s">
        <v>6</v>
      </c>
      <c r="G457" s="110">
        <v>7075.9240570918973</v>
      </c>
      <c r="H457" s="110">
        <v>7562.5940999999993</v>
      </c>
      <c r="I457" s="80">
        <v>7549.6633100000008</v>
      </c>
      <c r="J457" s="98"/>
      <c r="K457" s="14"/>
      <c r="L457" s="14"/>
      <c r="M457" s="14"/>
    </row>
    <row r="458" spans="1:13" ht="60" x14ac:dyDescent="0.25">
      <c r="A458" s="116" t="s">
        <v>868</v>
      </c>
      <c r="B458" s="123"/>
      <c r="C458" s="116" t="s">
        <v>2165</v>
      </c>
      <c r="D458" s="107" t="s">
        <v>1728</v>
      </c>
      <c r="E458" s="107" t="s">
        <v>2171</v>
      </c>
      <c r="F458" s="107" t="s">
        <v>80</v>
      </c>
      <c r="G458" s="55">
        <v>17</v>
      </c>
      <c r="H458" s="55">
        <v>17</v>
      </c>
      <c r="I458" s="82">
        <v>17</v>
      </c>
      <c r="J458" s="98"/>
      <c r="K458" s="14"/>
      <c r="L458" s="14"/>
      <c r="M458" s="14"/>
    </row>
    <row r="459" spans="1:13" ht="60" x14ac:dyDescent="0.25">
      <c r="A459" s="117"/>
      <c r="B459" s="123"/>
      <c r="C459" s="117"/>
      <c r="D459" s="107" t="s">
        <v>795</v>
      </c>
      <c r="E459" s="107" t="s">
        <v>16</v>
      </c>
      <c r="F459" s="107" t="s">
        <v>6</v>
      </c>
      <c r="G459" s="110">
        <v>1207.7288221355871</v>
      </c>
      <c r="H459" s="110">
        <v>1290.7943600000001</v>
      </c>
      <c r="I459" s="80">
        <v>1255.5018400000001</v>
      </c>
      <c r="J459" s="98"/>
      <c r="K459" s="14"/>
      <c r="L459" s="14"/>
      <c r="M459" s="14"/>
    </row>
    <row r="460" spans="1:13" ht="60" customHeight="1" x14ac:dyDescent="0.25">
      <c r="A460" s="116" t="s">
        <v>869</v>
      </c>
      <c r="B460" s="123"/>
      <c r="C460" s="116" t="s">
        <v>2173</v>
      </c>
      <c r="D460" s="107" t="s">
        <v>1729</v>
      </c>
      <c r="E460" s="107" t="s">
        <v>2172</v>
      </c>
      <c r="F460" s="107" t="s">
        <v>54</v>
      </c>
      <c r="G460" s="110">
        <v>34977</v>
      </c>
      <c r="H460" s="110">
        <v>34977</v>
      </c>
      <c r="I460" s="80">
        <v>33988</v>
      </c>
      <c r="J460" s="98"/>
      <c r="K460" s="14"/>
      <c r="L460" s="14"/>
      <c r="M460" s="14"/>
    </row>
    <row r="461" spans="1:13" ht="60" x14ac:dyDescent="0.25">
      <c r="A461" s="117"/>
      <c r="B461" s="123"/>
      <c r="C461" s="117"/>
      <c r="D461" s="107" t="s">
        <v>795</v>
      </c>
      <c r="E461" s="107" t="s">
        <v>16</v>
      </c>
      <c r="F461" s="107" t="s">
        <v>6</v>
      </c>
      <c r="G461" s="110">
        <v>2725.3388266721877</v>
      </c>
      <c r="H461" s="110">
        <v>2912.7830040000003</v>
      </c>
      <c r="I461" s="80">
        <v>2819.3699799999999</v>
      </c>
      <c r="J461" s="98"/>
      <c r="K461" s="14"/>
      <c r="L461" s="14"/>
      <c r="M461" s="14"/>
    </row>
    <row r="462" spans="1:13" ht="60" customHeight="1" x14ac:dyDescent="0.25">
      <c r="A462" s="116" t="s">
        <v>870</v>
      </c>
      <c r="B462" s="123"/>
      <c r="C462" s="116" t="s">
        <v>2173</v>
      </c>
      <c r="D462" s="107" t="s">
        <v>1729</v>
      </c>
      <c r="E462" s="107" t="s">
        <v>2172</v>
      </c>
      <c r="F462" s="107" t="s">
        <v>54</v>
      </c>
      <c r="G462" s="110">
        <v>10830</v>
      </c>
      <c r="H462" s="110">
        <v>10830</v>
      </c>
      <c r="I462" s="80">
        <v>10450</v>
      </c>
      <c r="J462" s="98"/>
      <c r="K462" s="14"/>
      <c r="L462" s="14"/>
      <c r="M462" s="14"/>
    </row>
    <row r="463" spans="1:13" ht="60" x14ac:dyDescent="0.25">
      <c r="A463" s="117"/>
      <c r="B463" s="123"/>
      <c r="C463" s="117"/>
      <c r="D463" s="107" t="s">
        <v>801</v>
      </c>
      <c r="E463" s="107" t="s">
        <v>16</v>
      </c>
      <c r="F463" s="107" t="s">
        <v>6</v>
      </c>
      <c r="G463" s="110">
        <v>957.08825481034444</v>
      </c>
      <c r="H463" s="110">
        <v>1022.91516</v>
      </c>
      <c r="I463" s="80">
        <v>987.02340000000004</v>
      </c>
      <c r="J463" s="98"/>
      <c r="K463" s="14"/>
      <c r="L463" s="14"/>
      <c r="M463" s="14"/>
    </row>
    <row r="464" spans="1:13" ht="75" customHeight="1" x14ac:dyDescent="0.25">
      <c r="A464" s="116" t="s">
        <v>871</v>
      </c>
      <c r="B464" s="123"/>
      <c r="C464" s="116" t="s">
        <v>2173</v>
      </c>
      <c r="D464" s="107" t="s">
        <v>1729</v>
      </c>
      <c r="E464" s="107" t="s">
        <v>2174</v>
      </c>
      <c r="F464" s="107" t="s">
        <v>54</v>
      </c>
      <c r="G464" s="110">
        <v>18992</v>
      </c>
      <c r="H464" s="110">
        <v>18992</v>
      </c>
      <c r="I464" s="80">
        <v>19586</v>
      </c>
      <c r="J464" s="98"/>
      <c r="K464" s="14"/>
      <c r="L464" s="14"/>
      <c r="M464" s="14"/>
    </row>
    <row r="465" spans="1:13" ht="60" x14ac:dyDescent="0.25">
      <c r="A465" s="117"/>
      <c r="B465" s="123"/>
      <c r="C465" s="117"/>
      <c r="D465" s="107" t="s">
        <v>795</v>
      </c>
      <c r="E465" s="107" t="s">
        <v>16</v>
      </c>
      <c r="F465" s="107" t="s">
        <v>6</v>
      </c>
      <c r="G465" s="110">
        <v>1678.3952110210585</v>
      </c>
      <c r="H465" s="110">
        <v>1793.832384</v>
      </c>
      <c r="I465" s="80">
        <v>1849.93687</v>
      </c>
      <c r="J465" s="98"/>
      <c r="K465" s="14"/>
      <c r="L465" s="14"/>
      <c r="M465" s="14"/>
    </row>
    <row r="466" spans="1:13" ht="90" x14ac:dyDescent="0.25">
      <c r="A466" s="116" t="s">
        <v>872</v>
      </c>
      <c r="B466" s="123"/>
      <c r="C466" s="116" t="s">
        <v>2173</v>
      </c>
      <c r="D466" s="107" t="s">
        <v>1730</v>
      </c>
      <c r="E466" s="107" t="s">
        <v>2175</v>
      </c>
      <c r="F466" s="107" t="s">
        <v>54</v>
      </c>
      <c r="G466" s="110">
        <v>12064</v>
      </c>
      <c r="H466" s="110">
        <v>12064</v>
      </c>
      <c r="I466" s="80">
        <v>12064</v>
      </c>
      <c r="J466" s="98"/>
      <c r="K466" s="14"/>
      <c r="L466" s="14"/>
      <c r="M466" s="14"/>
    </row>
    <row r="467" spans="1:13" ht="60" x14ac:dyDescent="0.25">
      <c r="A467" s="117"/>
      <c r="B467" s="123"/>
      <c r="C467" s="117"/>
      <c r="D467" s="107" t="s">
        <v>795</v>
      </c>
      <c r="E467" s="107" t="s">
        <v>16</v>
      </c>
      <c r="F467" s="107" t="s">
        <v>6</v>
      </c>
      <c r="G467" s="110">
        <v>1066.1415259739729</v>
      </c>
      <c r="H467" s="110">
        <v>1139.46893</v>
      </c>
      <c r="I467" s="80">
        <v>1139.46893</v>
      </c>
      <c r="J467" s="98"/>
      <c r="K467" s="14"/>
      <c r="L467" s="14"/>
      <c r="M467" s="14"/>
    </row>
    <row r="468" spans="1:13" ht="75" customHeight="1" x14ac:dyDescent="0.25">
      <c r="A468" s="116" t="s">
        <v>873</v>
      </c>
      <c r="B468" s="123"/>
      <c r="C468" s="116" t="s">
        <v>2173</v>
      </c>
      <c r="D468" s="107" t="s">
        <v>1729</v>
      </c>
      <c r="E468" s="107" t="s">
        <v>2176</v>
      </c>
      <c r="F468" s="107" t="s">
        <v>54</v>
      </c>
      <c r="G468" s="110">
        <v>6529</v>
      </c>
      <c r="H468" s="110">
        <v>6529</v>
      </c>
      <c r="I468" s="80">
        <v>6529</v>
      </c>
      <c r="J468" s="98"/>
      <c r="K468" s="14"/>
      <c r="L468" s="14"/>
      <c r="M468" s="14"/>
    </row>
    <row r="469" spans="1:13" ht="60" x14ac:dyDescent="0.25">
      <c r="A469" s="117"/>
      <c r="B469" s="123"/>
      <c r="C469" s="117"/>
      <c r="D469" s="107" t="s">
        <v>795</v>
      </c>
      <c r="E469" s="107" t="s">
        <v>16</v>
      </c>
      <c r="F469" s="107" t="s">
        <v>6</v>
      </c>
      <c r="G469" s="110">
        <v>576.99254068852622</v>
      </c>
      <c r="H469" s="110">
        <v>616.67710799999998</v>
      </c>
      <c r="I469" s="80">
        <v>616.67710999999997</v>
      </c>
      <c r="J469" s="98"/>
      <c r="K469" s="14"/>
      <c r="L469" s="14"/>
      <c r="M469" s="14"/>
    </row>
    <row r="470" spans="1:13" ht="60" customHeight="1" x14ac:dyDescent="0.25">
      <c r="A470" s="116" t="s">
        <v>874</v>
      </c>
      <c r="B470" s="123"/>
      <c r="C470" s="116" t="s">
        <v>2173</v>
      </c>
      <c r="D470" s="107" t="s">
        <v>1729</v>
      </c>
      <c r="E470" s="107" t="s">
        <v>2177</v>
      </c>
      <c r="F470" s="107" t="s">
        <v>54</v>
      </c>
      <c r="G470" s="110">
        <v>12859</v>
      </c>
      <c r="H470" s="110">
        <v>12859</v>
      </c>
      <c r="I470" s="80">
        <v>12859</v>
      </c>
      <c r="J470" s="98"/>
      <c r="K470" s="14"/>
      <c r="L470" s="14"/>
      <c r="M470" s="14"/>
    </row>
    <row r="471" spans="1:13" ht="60" x14ac:dyDescent="0.25">
      <c r="A471" s="117"/>
      <c r="B471" s="123"/>
      <c r="C471" s="117"/>
      <c r="D471" s="107" t="s">
        <v>795</v>
      </c>
      <c r="E471" s="107" t="s">
        <v>16</v>
      </c>
      <c r="F471" s="107" t="s">
        <v>6</v>
      </c>
      <c r="G471" s="110">
        <v>1136.3986951621625</v>
      </c>
      <c r="H471" s="110">
        <v>1214.558268</v>
      </c>
      <c r="I471" s="80">
        <v>1214.55827</v>
      </c>
      <c r="J471" s="98"/>
      <c r="K471" s="14"/>
      <c r="L471" s="14"/>
      <c r="M471" s="14"/>
    </row>
    <row r="472" spans="1:13" ht="75" x14ac:dyDescent="0.25">
      <c r="A472" s="116" t="s">
        <v>875</v>
      </c>
      <c r="B472" s="123"/>
      <c r="C472" s="116" t="s">
        <v>2173</v>
      </c>
      <c r="D472" s="107" t="s">
        <v>1729</v>
      </c>
      <c r="E472" s="107" t="s">
        <v>2178</v>
      </c>
      <c r="F472" s="107" t="s">
        <v>54</v>
      </c>
      <c r="G472" s="110">
        <v>23111</v>
      </c>
      <c r="H472" s="110">
        <v>23111</v>
      </c>
      <c r="I472" s="80">
        <v>23111</v>
      </c>
      <c r="J472" s="98"/>
      <c r="K472" s="14"/>
      <c r="L472" s="14"/>
      <c r="M472" s="14"/>
    </row>
    <row r="473" spans="1:13" ht="60" x14ac:dyDescent="0.25">
      <c r="A473" s="117"/>
      <c r="B473" s="123"/>
      <c r="C473" s="117"/>
      <c r="D473" s="107" t="s">
        <v>795</v>
      </c>
      <c r="E473" s="107" t="s">
        <v>16</v>
      </c>
      <c r="F473" s="107" t="s">
        <v>6</v>
      </c>
      <c r="G473" s="110">
        <v>2042.4068897866678</v>
      </c>
      <c r="H473" s="110">
        <v>2182.8801680000001</v>
      </c>
      <c r="I473" s="80">
        <v>2182.8801699999999</v>
      </c>
      <c r="J473" s="98"/>
      <c r="K473" s="14"/>
      <c r="L473" s="14"/>
      <c r="M473" s="14"/>
    </row>
    <row r="474" spans="1:13" ht="90" x14ac:dyDescent="0.25">
      <c r="A474" s="116" t="s">
        <v>876</v>
      </c>
      <c r="B474" s="123"/>
      <c r="C474" s="116" t="s">
        <v>2173</v>
      </c>
      <c r="D474" s="107" t="s">
        <v>1730</v>
      </c>
      <c r="E474" s="107" t="s">
        <v>2179</v>
      </c>
      <c r="F474" s="107" t="s">
        <v>54</v>
      </c>
      <c r="G474" s="110">
        <v>33288</v>
      </c>
      <c r="H474" s="110">
        <v>33288</v>
      </c>
      <c r="I474" s="80">
        <v>33354</v>
      </c>
      <c r="J474" s="98"/>
      <c r="K474" s="14"/>
      <c r="L474" s="14"/>
      <c r="M474" s="14"/>
    </row>
    <row r="475" spans="1:13" ht="60" x14ac:dyDescent="0.25">
      <c r="A475" s="117"/>
      <c r="B475" s="123"/>
      <c r="C475" s="117"/>
      <c r="D475" s="107" t="s">
        <v>795</v>
      </c>
      <c r="E475" s="107" t="s">
        <v>16</v>
      </c>
      <c r="F475" s="107" t="s">
        <v>6</v>
      </c>
      <c r="G475" s="110">
        <v>1730.4629746416135</v>
      </c>
      <c r="H475" s="110">
        <v>1849.48128</v>
      </c>
      <c r="I475" s="80">
        <v>1853.14824</v>
      </c>
      <c r="J475" s="98"/>
      <c r="K475" s="14"/>
      <c r="L475" s="14"/>
      <c r="M475" s="14"/>
    </row>
    <row r="476" spans="1:13" ht="60" customHeight="1" x14ac:dyDescent="0.25">
      <c r="A476" s="116" t="s">
        <v>877</v>
      </c>
      <c r="B476" s="123"/>
      <c r="C476" s="116" t="s">
        <v>2173</v>
      </c>
      <c r="D476" s="107" t="s">
        <v>1729</v>
      </c>
      <c r="E476" s="107" t="s">
        <v>2180</v>
      </c>
      <c r="F476" s="107" t="s">
        <v>54</v>
      </c>
      <c r="G476" s="110">
        <v>30470</v>
      </c>
      <c r="H476" s="110">
        <v>30470</v>
      </c>
      <c r="I476" s="80">
        <v>30656</v>
      </c>
      <c r="J476" s="98"/>
      <c r="K476" s="14"/>
      <c r="L476" s="14"/>
      <c r="M476" s="14"/>
    </row>
    <row r="477" spans="1:13" ht="60" x14ac:dyDescent="0.25">
      <c r="A477" s="117"/>
      <c r="B477" s="123"/>
      <c r="C477" s="117"/>
      <c r="D477" s="107" t="s">
        <v>795</v>
      </c>
      <c r="E477" s="107" t="s">
        <v>16</v>
      </c>
      <c r="F477" s="107" t="s">
        <v>6</v>
      </c>
      <c r="G477" s="110">
        <v>2015.9103488832952</v>
      </c>
      <c r="H477" s="110">
        <v>2154.56124</v>
      </c>
      <c r="I477" s="80">
        <v>2164.8953999999999</v>
      </c>
      <c r="J477" s="98"/>
      <c r="K477" s="14"/>
      <c r="L477" s="14"/>
      <c r="M477" s="14"/>
    </row>
    <row r="478" spans="1:13" ht="75" customHeight="1" x14ac:dyDescent="0.25">
      <c r="A478" s="116" t="s">
        <v>878</v>
      </c>
      <c r="B478" s="123"/>
      <c r="C478" s="116" t="s">
        <v>2173</v>
      </c>
      <c r="D478" s="107" t="s">
        <v>1729</v>
      </c>
      <c r="E478" s="107" t="s">
        <v>2181</v>
      </c>
      <c r="F478" s="107" t="s">
        <v>54</v>
      </c>
      <c r="G478" s="110">
        <v>7122</v>
      </c>
      <c r="H478" s="110">
        <v>7122</v>
      </c>
      <c r="I478" s="80">
        <v>7122</v>
      </c>
      <c r="J478" s="98"/>
      <c r="K478" s="14"/>
      <c r="L478" s="14"/>
      <c r="M478" s="14"/>
    </row>
    <row r="479" spans="1:13" ht="60" x14ac:dyDescent="0.25">
      <c r="A479" s="117"/>
      <c r="B479" s="123"/>
      <c r="C479" s="117"/>
      <c r="D479" s="107" t="s">
        <v>795</v>
      </c>
      <c r="E479" s="107" t="s">
        <v>16</v>
      </c>
      <c r="F479" s="107" t="s">
        <v>6</v>
      </c>
      <c r="G479" s="110">
        <v>629.39820413289692</v>
      </c>
      <c r="H479" s="110">
        <v>672.68714399999999</v>
      </c>
      <c r="I479" s="80">
        <v>672.68714</v>
      </c>
      <c r="J479" s="98"/>
      <c r="K479" s="14"/>
      <c r="L479" s="14"/>
      <c r="M479" s="14"/>
    </row>
    <row r="480" spans="1:13" ht="75" customHeight="1" x14ac:dyDescent="0.25">
      <c r="A480" s="116" t="s">
        <v>879</v>
      </c>
      <c r="B480" s="123"/>
      <c r="C480" s="116" t="s">
        <v>2173</v>
      </c>
      <c r="D480" s="107" t="s">
        <v>1729</v>
      </c>
      <c r="E480" s="107" t="s">
        <v>2182</v>
      </c>
      <c r="F480" s="107" t="s">
        <v>54</v>
      </c>
      <c r="G480" s="110">
        <v>7716</v>
      </c>
      <c r="H480" s="110">
        <v>7716</v>
      </c>
      <c r="I480" s="80">
        <v>7716</v>
      </c>
      <c r="J480" s="98"/>
      <c r="K480" s="14"/>
      <c r="L480" s="14"/>
      <c r="M480" s="14"/>
    </row>
    <row r="481" spans="1:13" ht="60" x14ac:dyDescent="0.25">
      <c r="A481" s="117"/>
      <c r="B481" s="123"/>
      <c r="C481" s="117"/>
      <c r="D481" s="107" t="s">
        <v>794</v>
      </c>
      <c r="E481" s="107" t="s">
        <v>16</v>
      </c>
      <c r="F481" s="107" t="s">
        <v>6</v>
      </c>
      <c r="G481" s="110">
        <v>681.89224137734232</v>
      </c>
      <c r="H481" s="110">
        <v>728.79163199999994</v>
      </c>
      <c r="I481" s="80">
        <v>728.79163000000005</v>
      </c>
      <c r="J481" s="98"/>
      <c r="K481" s="14"/>
      <c r="L481" s="14"/>
      <c r="M481" s="14"/>
    </row>
    <row r="482" spans="1:13" ht="60" customHeight="1" x14ac:dyDescent="0.25">
      <c r="A482" s="116" t="s">
        <v>880</v>
      </c>
      <c r="B482" s="123"/>
      <c r="C482" s="116" t="s">
        <v>2173</v>
      </c>
      <c r="D482" s="107" t="s">
        <v>1729</v>
      </c>
      <c r="E482" s="107" t="s">
        <v>2183</v>
      </c>
      <c r="F482" s="107" t="s">
        <v>54</v>
      </c>
      <c r="G482" s="110">
        <v>5144</v>
      </c>
      <c r="H482" s="110">
        <v>5144</v>
      </c>
      <c r="I482" s="80">
        <v>5144</v>
      </c>
      <c r="J482" s="98"/>
      <c r="K482" s="14"/>
      <c r="L482" s="14"/>
      <c r="M482" s="14"/>
    </row>
    <row r="483" spans="1:13" ht="60" x14ac:dyDescent="0.25">
      <c r="A483" s="117"/>
      <c r="B483" s="123"/>
      <c r="C483" s="117"/>
      <c r="D483" s="107" t="s">
        <v>795</v>
      </c>
      <c r="E483" s="107" t="s">
        <v>16</v>
      </c>
      <c r="F483" s="107" t="s">
        <v>6</v>
      </c>
      <c r="G483" s="110">
        <v>454.59482758489492</v>
      </c>
      <c r="H483" s="110">
        <v>485.861088</v>
      </c>
      <c r="I483" s="80">
        <v>485.86109000000005</v>
      </c>
      <c r="J483" s="98"/>
      <c r="K483" s="14"/>
      <c r="L483" s="14"/>
      <c r="M483" s="14"/>
    </row>
    <row r="484" spans="1:13" ht="60" customHeight="1" x14ac:dyDescent="0.25">
      <c r="A484" s="116" t="s">
        <v>881</v>
      </c>
      <c r="B484" s="123"/>
      <c r="C484" s="116" t="s">
        <v>2173</v>
      </c>
      <c r="D484" s="107" t="s">
        <v>1729</v>
      </c>
      <c r="E484" s="107" t="s">
        <v>2184</v>
      </c>
      <c r="F484" s="107" t="s">
        <v>54</v>
      </c>
      <c r="G484" s="110">
        <v>5144</v>
      </c>
      <c r="H484" s="110">
        <v>5144</v>
      </c>
      <c r="I484" s="80">
        <v>5144</v>
      </c>
      <c r="J484" s="98"/>
      <c r="K484" s="14"/>
      <c r="L484" s="14"/>
      <c r="M484" s="14"/>
    </row>
    <row r="485" spans="1:13" ht="60" x14ac:dyDescent="0.25">
      <c r="A485" s="117"/>
      <c r="B485" s="123"/>
      <c r="C485" s="117"/>
      <c r="D485" s="107" t="s">
        <v>795</v>
      </c>
      <c r="E485" s="107" t="s">
        <v>16</v>
      </c>
      <c r="F485" s="107" t="s">
        <v>6</v>
      </c>
      <c r="G485" s="110">
        <v>454.59482758489492</v>
      </c>
      <c r="H485" s="110">
        <v>485.861088</v>
      </c>
      <c r="I485" s="80">
        <v>485.86109000000005</v>
      </c>
      <c r="J485" s="98"/>
      <c r="K485" s="14"/>
      <c r="L485" s="14"/>
      <c r="M485" s="14"/>
    </row>
    <row r="486" spans="1:13" ht="75" x14ac:dyDescent="0.25">
      <c r="A486" s="116" t="s">
        <v>882</v>
      </c>
      <c r="B486" s="123"/>
      <c r="C486" s="116" t="s">
        <v>2173</v>
      </c>
      <c r="D486" s="107" t="s">
        <v>1729</v>
      </c>
      <c r="E486" s="107" t="s">
        <v>2185</v>
      </c>
      <c r="F486" s="107" t="s">
        <v>54</v>
      </c>
      <c r="G486" s="110">
        <v>5144</v>
      </c>
      <c r="H486" s="110">
        <v>5144</v>
      </c>
      <c r="I486" s="80">
        <v>5144</v>
      </c>
      <c r="J486" s="98"/>
      <c r="K486" s="14"/>
      <c r="L486" s="14"/>
      <c r="M486" s="14"/>
    </row>
    <row r="487" spans="1:13" ht="60" x14ac:dyDescent="0.25">
      <c r="A487" s="117"/>
      <c r="B487" s="123"/>
      <c r="C487" s="117"/>
      <c r="D487" s="107" t="s">
        <v>795</v>
      </c>
      <c r="E487" s="107" t="s">
        <v>16</v>
      </c>
      <c r="F487" s="107" t="s">
        <v>6</v>
      </c>
      <c r="G487" s="110">
        <v>454.59482758489492</v>
      </c>
      <c r="H487" s="110">
        <v>485.861088</v>
      </c>
      <c r="I487" s="80">
        <v>485.86109000000005</v>
      </c>
      <c r="J487" s="98"/>
      <c r="K487" s="14"/>
      <c r="L487" s="14"/>
      <c r="M487" s="14"/>
    </row>
    <row r="488" spans="1:13" ht="60" x14ac:dyDescent="0.25">
      <c r="A488" s="116" t="s">
        <v>883</v>
      </c>
      <c r="B488" s="123"/>
      <c r="C488" s="116" t="s">
        <v>2186</v>
      </c>
      <c r="D488" s="107" t="s">
        <v>1731</v>
      </c>
      <c r="E488" s="107" t="s">
        <v>2187</v>
      </c>
      <c r="F488" s="107" t="s">
        <v>80</v>
      </c>
      <c r="G488" s="19">
        <v>288</v>
      </c>
      <c r="H488" s="19">
        <v>288</v>
      </c>
      <c r="I488" s="73">
        <v>287</v>
      </c>
      <c r="J488" s="98"/>
      <c r="K488" s="14"/>
      <c r="L488" s="14"/>
      <c r="M488" s="14"/>
    </row>
    <row r="489" spans="1:13" ht="60" x14ac:dyDescent="0.25">
      <c r="A489" s="117"/>
      <c r="B489" s="123"/>
      <c r="C489" s="117"/>
      <c r="D489" s="107" t="s">
        <v>794</v>
      </c>
      <c r="E489" s="107" t="s">
        <v>16</v>
      </c>
      <c r="F489" s="107" t="s">
        <v>6</v>
      </c>
      <c r="G489" s="110">
        <v>27564.367830328436</v>
      </c>
      <c r="H489" s="110">
        <v>29460.198250000001</v>
      </c>
      <c r="I489" s="80">
        <v>29278.064320000001</v>
      </c>
      <c r="J489" s="98"/>
      <c r="K489" s="14"/>
      <c r="L489" s="14"/>
      <c r="M489" s="14"/>
    </row>
    <row r="490" spans="1:13" ht="60" x14ac:dyDescent="0.25">
      <c r="A490" s="116" t="s">
        <v>884</v>
      </c>
      <c r="B490" s="123"/>
      <c r="C490" s="116" t="s">
        <v>2153</v>
      </c>
      <c r="D490" s="107" t="s">
        <v>1731</v>
      </c>
      <c r="E490" s="107" t="s">
        <v>2188</v>
      </c>
      <c r="F490" s="107" t="s">
        <v>80</v>
      </c>
      <c r="G490" s="19">
        <v>65</v>
      </c>
      <c r="H490" s="19">
        <v>65</v>
      </c>
      <c r="I490" s="73">
        <v>65</v>
      </c>
      <c r="J490" s="98"/>
      <c r="K490" s="14"/>
      <c r="L490" s="14"/>
      <c r="M490" s="14"/>
    </row>
    <row r="491" spans="1:13" ht="60" x14ac:dyDescent="0.25">
      <c r="A491" s="117"/>
      <c r="B491" s="123"/>
      <c r="C491" s="117"/>
      <c r="D491" s="107" t="s">
        <v>802</v>
      </c>
      <c r="E491" s="107" t="s">
        <v>16</v>
      </c>
      <c r="F491" s="107" t="s">
        <v>6</v>
      </c>
      <c r="G491" s="110">
        <v>4953.5189283564614</v>
      </c>
      <c r="H491" s="110">
        <v>5294.2135499999995</v>
      </c>
      <c r="I491" s="80">
        <v>5294.2135499999995</v>
      </c>
      <c r="J491" s="98"/>
      <c r="K491" s="14"/>
      <c r="L491" s="14"/>
      <c r="M491" s="14"/>
    </row>
    <row r="492" spans="1:13" ht="60" x14ac:dyDescent="0.25">
      <c r="A492" s="116" t="s">
        <v>885</v>
      </c>
      <c r="B492" s="123"/>
      <c r="C492" s="116" t="s">
        <v>2153</v>
      </c>
      <c r="D492" s="107" t="s">
        <v>1732</v>
      </c>
      <c r="E492" s="107" t="s">
        <v>2189</v>
      </c>
      <c r="F492" s="107" t="s">
        <v>80</v>
      </c>
      <c r="G492" s="19">
        <v>105</v>
      </c>
      <c r="H492" s="19">
        <v>105</v>
      </c>
      <c r="I492" s="73">
        <v>105</v>
      </c>
      <c r="J492" s="98"/>
      <c r="K492" s="14"/>
      <c r="L492" s="14"/>
      <c r="M492" s="14"/>
    </row>
    <row r="493" spans="1:13" ht="60" x14ac:dyDescent="0.25">
      <c r="A493" s="117"/>
      <c r="B493" s="123"/>
      <c r="C493" s="117"/>
      <c r="D493" s="107" t="s">
        <v>795</v>
      </c>
      <c r="E493" s="107" t="s">
        <v>16</v>
      </c>
      <c r="F493" s="107" t="s">
        <v>6</v>
      </c>
      <c r="G493" s="110">
        <v>10358.220874764815</v>
      </c>
      <c r="H493" s="110">
        <f>11070.64172+300</f>
        <v>11370.64172</v>
      </c>
      <c r="I493" s="80">
        <v>10991.714129999998</v>
      </c>
      <c r="J493" s="98"/>
      <c r="K493" s="14"/>
      <c r="L493" s="14"/>
      <c r="M493" s="14"/>
    </row>
    <row r="494" spans="1:13" ht="75" x14ac:dyDescent="0.25">
      <c r="A494" s="116" t="s">
        <v>886</v>
      </c>
      <c r="B494" s="123"/>
      <c r="C494" s="116" t="s">
        <v>2153</v>
      </c>
      <c r="D494" s="107" t="s">
        <v>1733</v>
      </c>
      <c r="E494" s="107" t="s">
        <v>2190</v>
      </c>
      <c r="F494" s="107" t="s">
        <v>80</v>
      </c>
      <c r="G494" s="19">
        <v>41</v>
      </c>
      <c r="H494" s="19">
        <v>41</v>
      </c>
      <c r="I494" s="73">
        <v>41</v>
      </c>
      <c r="J494" s="98"/>
      <c r="K494" s="14"/>
      <c r="L494" s="14"/>
      <c r="M494" s="14"/>
    </row>
    <row r="495" spans="1:13" ht="60" x14ac:dyDescent="0.25">
      <c r="A495" s="117"/>
      <c r="B495" s="123"/>
      <c r="C495" s="117"/>
      <c r="D495" s="107" t="s">
        <v>795</v>
      </c>
      <c r="E495" s="107" t="s">
        <v>16</v>
      </c>
      <c r="F495" s="107" t="s">
        <v>6</v>
      </c>
      <c r="G495" s="110">
        <v>4066.84052360336</v>
      </c>
      <c r="H495" s="110">
        <v>4346.5509099999999</v>
      </c>
      <c r="I495" s="80">
        <v>4351.8097600000001</v>
      </c>
      <c r="J495" s="98"/>
      <c r="K495" s="14"/>
      <c r="L495" s="14"/>
      <c r="M495" s="14"/>
    </row>
    <row r="496" spans="1:13" ht="60" x14ac:dyDescent="0.25">
      <c r="A496" s="116" t="s">
        <v>887</v>
      </c>
      <c r="B496" s="123"/>
      <c r="C496" s="116" t="s">
        <v>2153</v>
      </c>
      <c r="D496" s="107" t="s">
        <v>1734</v>
      </c>
      <c r="E496" s="107" t="s">
        <v>2191</v>
      </c>
      <c r="F496" s="107" t="s">
        <v>80</v>
      </c>
      <c r="G496" s="19">
        <v>18</v>
      </c>
      <c r="H496" s="19">
        <v>18</v>
      </c>
      <c r="I496" s="73">
        <v>19</v>
      </c>
      <c r="J496" s="98"/>
      <c r="K496" s="14"/>
      <c r="L496" s="14"/>
      <c r="M496" s="14"/>
    </row>
    <row r="497" spans="1:13" ht="60" x14ac:dyDescent="0.25">
      <c r="A497" s="117"/>
      <c r="B497" s="123"/>
      <c r="C497" s="117"/>
      <c r="D497" s="107" t="s">
        <v>795</v>
      </c>
      <c r="E497" s="107" t="s">
        <v>16</v>
      </c>
      <c r="F497" s="107" t="s">
        <v>6</v>
      </c>
      <c r="G497" s="110">
        <v>1785.4421783556768</v>
      </c>
      <c r="H497" s="110">
        <v>1908.2418600000001</v>
      </c>
      <c r="I497" s="80">
        <v>1910.5506200000002</v>
      </c>
      <c r="J497" s="98"/>
      <c r="K497" s="14"/>
      <c r="L497" s="14"/>
      <c r="M497" s="14"/>
    </row>
    <row r="498" spans="1:13" ht="75" x14ac:dyDescent="0.25">
      <c r="A498" s="116" t="s">
        <v>888</v>
      </c>
      <c r="B498" s="123"/>
      <c r="C498" s="116" t="s">
        <v>2153</v>
      </c>
      <c r="D498" s="107" t="s">
        <v>1735</v>
      </c>
      <c r="E498" s="107" t="s">
        <v>2192</v>
      </c>
      <c r="F498" s="107" t="s">
        <v>80</v>
      </c>
      <c r="G498" s="19">
        <v>305</v>
      </c>
      <c r="H498" s="19">
        <v>305</v>
      </c>
      <c r="I498" s="73">
        <v>304</v>
      </c>
      <c r="J498" s="98"/>
      <c r="K498" s="14"/>
      <c r="L498" s="14"/>
      <c r="M498" s="14"/>
    </row>
    <row r="499" spans="1:13" ht="60" x14ac:dyDescent="0.25">
      <c r="A499" s="117"/>
      <c r="B499" s="123"/>
      <c r="C499" s="117"/>
      <c r="D499" s="107" t="s">
        <v>800</v>
      </c>
      <c r="E499" s="107" t="s">
        <v>16</v>
      </c>
      <c r="F499" s="107" t="s">
        <v>6</v>
      </c>
      <c r="G499" s="110">
        <v>29191.959283554341</v>
      </c>
      <c r="H499" s="110">
        <v>31199.732680000001</v>
      </c>
      <c r="I499" s="80">
        <v>30924.14416</v>
      </c>
      <c r="J499" s="98"/>
      <c r="K499" s="14"/>
      <c r="L499" s="14"/>
      <c r="M499" s="14"/>
    </row>
    <row r="500" spans="1:13" ht="75" x14ac:dyDescent="0.25">
      <c r="A500" s="116" t="s">
        <v>889</v>
      </c>
      <c r="B500" s="123"/>
      <c r="C500" s="116" t="s">
        <v>2153</v>
      </c>
      <c r="D500" s="107" t="s">
        <v>1736</v>
      </c>
      <c r="E500" s="107" t="s">
        <v>2193</v>
      </c>
      <c r="F500" s="107" t="s">
        <v>80</v>
      </c>
      <c r="G500" s="19">
        <v>12</v>
      </c>
      <c r="H500" s="19">
        <v>12</v>
      </c>
      <c r="I500" s="73">
        <v>12</v>
      </c>
      <c r="J500" s="98"/>
      <c r="K500" s="14"/>
      <c r="L500" s="14"/>
      <c r="M500" s="14"/>
    </row>
    <row r="501" spans="1:13" ht="60" x14ac:dyDescent="0.25">
      <c r="A501" s="117"/>
      <c r="B501" s="123"/>
      <c r="C501" s="117"/>
      <c r="D501" s="107" t="s">
        <v>794</v>
      </c>
      <c r="E501" s="107" t="s">
        <v>16</v>
      </c>
      <c r="F501" s="107" t="s">
        <v>6</v>
      </c>
      <c r="G501" s="110">
        <v>1190.2947949269287</v>
      </c>
      <c r="H501" s="110">
        <v>1272.1612500000001</v>
      </c>
      <c r="I501" s="80">
        <v>1273.7004399999998</v>
      </c>
      <c r="J501" s="98"/>
      <c r="K501" s="14"/>
      <c r="L501" s="14"/>
      <c r="M501" s="14"/>
    </row>
    <row r="502" spans="1:13" ht="75" x14ac:dyDescent="0.25">
      <c r="A502" s="116" t="s">
        <v>890</v>
      </c>
      <c r="B502" s="123"/>
      <c r="C502" s="116" t="s">
        <v>2153</v>
      </c>
      <c r="D502" s="107" t="s">
        <v>1736</v>
      </c>
      <c r="E502" s="107" t="s">
        <v>2194</v>
      </c>
      <c r="F502" s="107" t="s">
        <v>80</v>
      </c>
      <c r="G502" s="19">
        <v>34</v>
      </c>
      <c r="H502" s="19">
        <v>34</v>
      </c>
      <c r="I502" s="73">
        <v>34</v>
      </c>
      <c r="J502" s="98"/>
      <c r="K502" s="14"/>
      <c r="L502" s="14"/>
      <c r="M502" s="14"/>
    </row>
    <row r="503" spans="1:13" ht="60" x14ac:dyDescent="0.25">
      <c r="A503" s="117"/>
      <c r="B503" s="123"/>
      <c r="C503" s="117"/>
      <c r="D503" s="107" t="s">
        <v>802</v>
      </c>
      <c r="E503" s="107" t="s">
        <v>16</v>
      </c>
      <c r="F503" s="107" t="s">
        <v>6</v>
      </c>
      <c r="G503" s="110">
        <v>2591.0714358493506</v>
      </c>
      <c r="H503" s="110">
        <v>2769.2809300000004</v>
      </c>
      <c r="I503" s="80">
        <v>2769.2809300000004</v>
      </c>
      <c r="J503" s="98"/>
      <c r="K503" s="14"/>
      <c r="L503" s="14"/>
      <c r="M503" s="14"/>
    </row>
    <row r="504" spans="1:13" ht="75" customHeight="1" x14ac:dyDescent="0.25">
      <c r="A504" s="116" t="s">
        <v>891</v>
      </c>
      <c r="B504" s="123"/>
      <c r="C504" s="116" t="s">
        <v>2173</v>
      </c>
      <c r="D504" s="107" t="s">
        <v>1729</v>
      </c>
      <c r="E504" s="107" t="s">
        <v>2195</v>
      </c>
      <c r="F504" s="107" t="s">
        <v>54</v>
      </c>
      <c r="G504" s="110">
        <v>6412</v>
      </c>
      <c r="H504" s="110">
        <v>6412</v>
      </c>
      <c r="I504" s="80">
        <v>5953</v>
      </c>
      <c r="J504" s="98"/>
      <c r="K504" s="14"/>
      <c r="L504" s="14"/>
      <c r="M504" s="14"/>
    </row>
    <row r="505" spans="1:13" ht="60" x14ac:dyDescent="0.25">
      <c r="A505" s="117"/>
      <c r="B505" s="123"/>
      <c r="C505" s="117"/>
      <c r="D505" s="107" t="s">
        <v>795</v>
      </c>
      <c r="E505" s="107" t="s">
        <v>16</v>
      </c>
      <c r="F505" s="107" t="s">
        <v>6</v>
      </c>
      <c r="G505" s="110">
        <v>566.6528023371809</v>
      </c>
      <c r="H505" s="110">
        <v>605.62621999999999</v>
      </c>
      <c r="I505" s="80">
        <v>562.27276000000006</v>
      </c>
      <c r="J505" s="98"/>
      <c r="K505" s="14"/>
      <c r="L505" s="14"/>
      <c r="M505" s="14"/>
    </row>
    <row r="506" spans="1:13" ht="75" x14ac:dyDescent="0.25">
      <c r="A506" s="116" t="s">
        <v>892</v>
      </c>
      <c r="B506" s="123"/>
      <c r="C506" s="116" t="s">
        <v>2153</v>
      </c>
      <c r="D506" s="107" t="s">
        <v>1737</v>
      </c>
      <c r="E506" s="107" t="s">
        <v>2197</v>
      </c>
      <c r="F506" s="107" t="s">
        <v>80</v>
      </c>
      <c r="G506" s="19">
        <v>257</v>
      </c>
      <c r="H506" s="19">
        <v>257</v>
      </c>
      <c r="I506" s="73">
        <v>255</v>
      </c>
      <c r="J506" s="98"/>
      <c r="K506" s="14"/>
      <c r="L506" s="14"/>
      <c r="M506" s="14"/>
    </row>
    <row r="507" spans="1:13" ht="60" x14ac:dyDescent="0.25">
      <c r="A507" s="117"/>
      <c r="B507" s="123"/>
      <c r="C507" s="117"/>
      <c r="D507" s="107" t="s">
        <v>795</v>
      </c>
      <c r="E507" s="107" t="s">
        <v>16</v>
      </c>
      <c r="F507" s="107" t="s">
        <v>6</v>
      </c>
      <c r="G507" s="110">
        <v>27818.916326914154</v>
      </c>
      <c r="H507" s="110">
        <v>29732.25416</v>
      </c>
      <c r="I507" s="80">
        <v>29227.273000000001</v>
      </c>
      <c r="J507" s="98"/>
      <c r="K507" s="14"/>
      <c r="L507" s="14"/>
      <c r="M507" s="14"/>
    </row>
    <row r="508" spans="1:13" ht="90" x14ac:dyDescent="0.25">
      <c r="A508" s="116" t="s">
        <v>893</v>
      </c>
      <c r="B508" s="123"/>
      <c r="C508" s="116" t="s">
        <v>2153</v>
      </c>
      <c r="D508" s="107" t="s">
        <v>1738</v>
      </c>
      <c r="E508" s="107" t="s">
        <v>2196</v>
      </c>
      <c r="F508" s="107" t="s">
        <v>80</v>
      </c>
      <c r="G508" s="19">
        <v>66</v>
      </c>
      <c r="H508" s="19">
        <v>66</v>
      </c>
      <c r="I508" s="73">
        <v>66</v>
      </c>
      <c r="J508" s="98"/>
      <c r="K508" s="14"/>
      <c r="L508" s="14"/>
      <c r="M508" s="14"/>
    </row>
    <row r="509" spans="1:13" ht="60" x14ac:dyDescent="0.25">
      <c r="A509" s="117"/>
      <c r="B509" s="123"/>
      <c r="C509" s="117"/>
      <c r="D509" s="107" t="s">
        <v>795</v>
      </c>
      <c r="E509" s="107" t="s">
        <v>16</v>
      </c>
      <c r="F509" s="107" t="s">
        <v>6</v>
      </c>
      <c r="G509" s="110">
        <v>6485.1022760735159</v>
      </c>
      <c r="H509" s="110">
        <v>6931.1365999999998</v>
      </c>
      <c r="I509" s="80">
        <v>6839.6332999999995</v>
      </c>
      <c r="J509" s="98"/>
      <c r="K509" s="14"/>
      <c r="L509" s="14"/>
      <c r="M509" s="14"/>
    </row>
    <row r="510" spans="1:13" ht="60" x14ac:dyDescent="0.25">
      <c r="A510" s="116" t="s">
        <v>894</v>
      </c>
      <c r="B510" s="123"/>
      <c r="C510" s="116" t="s">
        <v>2153</v>
      </c>
      <c r="D510" s="107" t="s">
        <v>1739</v>
      </c>
      <c r="E510" s="107" t="s">
        <v>2198</v>
      </c>
      <c r="F510" s="107" t="s">
        <v>80</v>
      </c>
      <c r="G510" s="19">
        <v>57</v>
      </c>
      <c r="H510" s="19">
        <v>57</v>
      </c>
      <c r="I510" s="73">
        <v>57</v>
      </c>
      <c r="J510" s="98"/>
      <c r="K510" s="14"/>
      <c r="L510" s="14"/>
      <c r="M510" s="14"/>
    </row>
    <row r="511" spans="1:13" ht="60" x14ac:dyDescent="0.25">
      <c r="A511" s="117"/>
      <c r="B511" s="123"/>
      <c r="C511" s="117"/>
      <c r="D511" s="107" t="s">
        <v>795</v>
      </c>
      <c r="E511" s="107" t="s">
        <v>16</v>
      </c>
      <c r="F511" s="107" t="s">
        <v>6</v>
      </c>
      <c r="G511" s="110">
        <v>5600.770148368626</v>
      </c>
      <c r="H511" s="110">
        <v>5985.9816100000007</v>
      </c>
      <c r="I511" s="80">
        <v>5906.9560300000003</v>
      </c>
      <c r="J511" s="98"/>
      <c r="K511" s="14"/>
      <c r="L511" s="14"/>
      <c r="M511" s="14"/>
    </row>
    <row r="512" spans="1:13" ht="105" x14ac:dyDescent="0.25">
      <c r="A512" s="116" t="s">
        <v>895</v>
      </c>
      <c r="B512" s="123"/>
      <c r="C512" s="116" t="s">
        <v>2200</v>
      </c>
      <c r="D512" s="107" t="s">
        <v>1730</v>
      </c>
      <c r="E512" s="107" t="s">
        <v>2199</v>
      </c>
      <c r="F512" s="107" t="s">
        <v>54</v>
      </c>
      <c r="G512" s="110">
        <v>29250</v>
      </c>
      <c r="H512" s="110">
        <v>29250</v>
      </c>
      <c r="I512" s="80">
        <v>29250</v>
      </c>
      <c r="J512" s="98"/>
      <c r="K512" s="14"/>
      <c r="L512" s="14"/>
      <c r="M512" s="14"/>
    </row>
    <row r="513" spans="1:13" ht="60" x14ac:dyDescent="0.25">
      <c r="A513" s="117"/>
      <c r="B513" s="123"/>
      <c r="C513" s="117"/>
      <c r="D513" s="107" t="s">
        <v>795</v>
      </c>
      <c r="E513" s="107" t="s">
        <v>16</v>
      </c>
      <c r="F513" s="107" t="s">
        <v>6</v>
      </c>
      <c r="G513" s="110">
        <v>1520.5492071697668</v>
      </c>
      <c r="H513" s="110">
        <v>1625.13</v>
      </c>
      <c r="I513" s="80">
        <v>1625.13</v>
      </c>
      <c r="J513" s="98"/>
      <c r="K513" s="14"/>
      <c r="L513" s="14"/>
      <c r="M513" s="14"/>
    </row>
    <row r="514" spans="1:13" ht="60" x14ac:dyDescent="0.25">
      <c r="A514" s="116" t="s">
        <v>896</v>
      </c>
      <c r="B514" s="123"/>
      <c r="C514" s="116" t="s">
        <v>2153</v>
      </c>
      <c r="D514" s="107" t="s">
        <v>1740</v>
      </c>
      <c r="E514" s="107" t="s">
        <v>2201</v>
      </c>
      <c r="F514" s="107" t="s">
        <v>80</v>
      </c>
      <c r="G514" s="19">
        <v>11</v>
      </c>
      <c r="H514" s="19">
        <v>11</v>
      </c>
      <c r="I514" s="73">
        <v>11</v>
      </c>
      <c r="J514" s="98"/>
      <c r="K514" s="14"/>
      <c r="L514" s="14"/>
      <c r="M514" s="14"/>
    </row>
    <row r="515" spans="1:13" ht="60" x14ac:dyDescent="0.25">
      <c r="A515" s="117"/>
      <c r="B515" s="123"/>
      <c r="C515" s="117"/>
      <c r="D515" s="107" t="s">
        <v>795</v>
      </c>
      <c r="E515" s="107" t="s">
        <v>16</v>
      </c>
      <c r="F515" s="107" t="s">
        <v>68</v>
      </c>
      <c r="G515" s="110">
        <v>1008.1557211776409</v>
      </c>
      <c r="H515" s="110">
        <v>1077.49496</v>
      </c>
      <c r="I515" s="80">
        <v>1029.34539</v>
      </c>
      <c r="J515" s="98"/>
      <c r="K515" s="14"/>
      <c r="L515" s="14"/>
      <c r="M515" s="14"/>
    </row>
    <row r="516" spans="1:13" ht="75" x14ac:dyDescent="0.25">
      <c r="A516" s="116" t="s">
        <v>897</v>
      </c>
      <c r="B516" s="123"/>
      <c r="C516" s="116" t="s">
        <v>2153</v>
      </c>
      <c r="D516" s="107" t="s">
        <v>1741</v>
      </c>
      <c r="E516" s="107" t="s">
        <v>2202</v>
      </c>
      <c r="F516" s="107" t="s">
        <v>80</v>
      </c>
      <c r="G516" s="19">
        <v>25</v>
      </c>
      <c r="H516" s="19">
        <v>25</v>
      </c>
      <c r="I516" s="73">
        <v>25</v>
      </c>
      <c r="J516" s="98"/>
      <c r="K516" s="14"/>
      <c r="L516" s="14"/>
      <c r="M516" s="14"/>
    </row>
    <row r="517" spans="1:13" ht="60" x14ac:dyDescent="0.25">
      <c r="A517" s="117"/>
      <c r="B517" s="123"/>
      <c r="C517" s="117"/>
      <c r="D517" s="107" t="s">
        <v>795</v>
      </c>
      <c r="E517" s="107" t="s">
        <v>16</v>
      </c>
      <c r="F517" s="107" t="s">
        <v>68</v>
      </c>
      <c r="G517" s="110">
        <v>2245.6899201022375</v>
      </c>
      <c r="H517" s="110">
        <v>2400.1446599999999</v>
      </c>
      <c r="I517" s="80">
        <v>2402.7110399999997</v>
      </c>
      <c r="J517" s="98"/>
      <c r="K517" s="14"/>
      <c r="L517" s="14"/>
      <c r="M517" s="14"/>
    </row>
    <row r="518" spans="1:13" ht="120" x14ac:dyDescent="0.25">
      <c r="A518" s="116" t="s">
        <v>898</v>
      </c>
      <c r="B518" s="123"/>
      <c r="C518" s="116" t="s">
        <v>2173</v>
      </c>
      <c r="D518" s="107" t="s">
        <v>1730</v>
      </c>
      <c r="E518" s="107" t="s">
        <v>2203</v>
      </c>
      <c r="F518" s="107" t="s">
        <v>54</v>
      </c>
      <c r="G518" s="110">
        <v>8250</v>
      </c>
      <c r="H518" s="110">
        <v>8250</v>
      </c>
      <c r="I518" s="80">
        <v>8316</v>
      </c>
      <c r="J518" s="98"/>
      <c r="K518" s="14"/>
      <c r="L518" s="14"/>
      <c r="M518" s="14"/>
    </row>
    <row r="519" spans="1:13" ht="60" x14ac:dyDescent="0.25">
      <c r="A519" s="117"/>
      <c r="B519" s="123"/>
      <c r="C519" s="117"/>
      <c r="D519" s="107" t="s">
        <v>794</v>
      </c>
      <c r="E519" s="107" t="s">
        <v>16</v>
      </c>
      <c r="F519" s="107" t="s">
        <v>68</v>
      </c>
      <c r="G519" s="110">
        <v>428.87285330429319</v>
      </c>
      <c r="H519" s="110">
        <v>458.37</v>
      </c>
      <c r="I519" s="80">
        <v>462.03696000000002</v>
      </c>
      <c r="J519" s="98"/>
      <c r="K519" s="14"/>
      <c r="L519" s="14"/>
      <c r="M519" s="14"/>
    </row>
    <row r="520" spans="1:13" ht="75" x14ac:dyDescent="0.25">
      <c r="A520" s="116" t="s">
        <v>899</v>
      </c>
      <c r="B520" s="123"/>
      <c r="C520" s="116" t="s">
        <v>2153</v>
      </c>
      <c r="D520" s="107" t="s">
        <v>1742</v>
      </c>
      <c r="E520" s="107" t="s">
        <v>2206</v>
      </c>
      <c r="F520" s="107" t="s">
        <v>80</v>
      </c>
      <c r="G520" s="19">
        <v>66</v>
      </c>
      <c r="H520" s="19">
        <v>66</v>
      </c>
      <c r="I520" s="73">
        <v>66</v>
      </c>
      <c r="J520" s="98"/>
      <c r="K520" s="14"/>
      <c r="L520" s="14"/>
      <c r="M520" s="14"/>
    </row>
    <row r="521" spans="1:13" ht="60" x14ac:dyDescent="0.25">
      <c r="A521" s="117"/>
      <c r="B521" s="123"/>
      <c r="C521" s="117"/>
      <c r="D521" s="107" t="s">
        <v>801</v>
      </c>
      <c r="E521" s="107" t="s">
        <v>16</v>
      </c>
      <c r="F521" s="107" t="s">
        <v>68</v>
      </c>
      <c r="G521" s="110">
        <v>5029.7269125893663</v>
      </c>
      <c r="H521" s="110">
        <v>5375.6629899999998</v>
      </c>
      <c r="I521" s="80">
        <v>5375.6629899999998</v>
      </c>
      <c r="J521" s="98"/>
      <c r="K521" s="14"/>
      <c r="L521" s="14"/>
      <c r="M521" s="14"/>
    </row>
    <row r="522" spans="1:13" ht="60" x14ac:dyDescent="0.25">
      <c r="A522" s="116" t="s">
        <v>900</v>
      </c>
      <c r="B522" s="123"/>
      <c r="C522" s="116" t="s">
        <v>2153</v>
      </c>
      <c r="D522" s="107" t="s">
        <v>1743</v>
      </c>
      <c r="E522" s="107" t="s">
        <v>2205</v>
      </c>
      <c r="F522" s="107" t="s">
        <v>80</v>
      </c>
      <c r="G522" s="19">
        <v>105</v>
      </c>
      <c r="H522" s="19">
        <v>105</v>
      </c>
      <c r="I522" s="73">
        <v>104</v>
      </c>
      <c r="J522" s="98"/>
      <c r="K522" s="14"/>
      <c r="L522" s="14"/>
      <c r="M522" s="14"/>
    </row>
    <row r="523" spans="1:13" ht="60" x14ac:dyDescent="0.25">
      <c r="A523" s="117"/>
      <c r="B523" s="123"/>
      <c r="C523" s="117"/>
      <c r="D523" s="107" t="s">
        <v>795</v>
      </c>
      <c r="E523" s="107" t="s">
        <v>16</v>
      </c>
      <c r="F523" s="107" t="s">
        <v>6</v>
      </c>
      <c r="G523" s="110">
        <v>9338.7333928511562</v>
      </c>
      <c r="H523" s="110">
        <v>9981.0356199999987</v>
      </c>
      <c r="I523" s="80">
        <v>9883.2744699999985</v>
      </c>
      <c r="J523" s="98"/>
      <c r="K523" s="14"/>
      <c r="L523" s="14"/>
      <c r="M523" s="14"/>
    </row>
    <row r="524" spans="1:13" ht="75" x14ac:dyDescent="0.25">
      <c r="A524" s="116" t="s">
        <v>901</v>
      </c>
      <c r="B524" s="123"/>
      <c r="C524" s="116" t="s">
        <v>125</v>
      </c>
      <c r="D524" s="107" t="s">
        <v>1744</v>
      </c>
      <c r="E524" s="107" t="s">
        <v>2204</v>
      </c>
      <c r="F524" s="107" t="s">
        <v>80</v>
      </c>
      <c r="G524" s="19">
        <v>164</v>
      </c>
      <c r="H524" s="19">
        <v>164</v>
      </c>
      <c r="I524" s="73">
        <v>165</v>
      </c>
      <c r="J524" s="98"/>
      <c r="K524" s="14"/>
      <c r="L524" s="14"/>
      <c r="M524" s="14"/>
    </row>
    <row r="525" spans="1:13" ht="60" x14ac:dyDescent="0.25">
      <c r="A525" s="117"/>
      <c r="B525" s="123"/>
      <c r="C525" s="117"/>
      <c r="D525" s="107" t="s">
        <v>795</v>
      </c>
      <c r="E525" s="107" t="s">
        <v>16</v>
      </c>
      <c r="F525" s="107" t="s">
        <v>6</v>
      </c>
      <c r="G525" s="110">
        <v>16080.784831761564</v>
      </c>
      <c r="H525" s="110">
        <v>17186.793909999997</v>
      </c>
      <c r="I525" s="80">
        <v>16888.633319999997</v>
      </c>
      <c r="J525" s="98"/>
      <c r="K525" s="14"/>
      <c r="L525" s="14"/>
      <c r="M525" s="14"/>
    </row>
    <row r="526" spans="1:13" ht="120" x14ac:dyDescent="0.25">
      <c r="A526" s="116" t="s">
        <v>902</v>
      </c>
      <c r="B526" s="123"/>
      <c r="C526" s="116" t="s">
        <v>2173</v>
      </c>
      <c r="D526" s="107" t="s">
        <v>1730</v>
      </c>
      <c r="E526" s="107" t="s">
        <v>2207</v>
      </c>
      <c r="F526" s="107" t="s">
        <v>80</v>
      </c>
      <c r="G526" s="19">
        <v>29250</v>
      </c>
      <c r="H526" s="19">
        <v>29250</v>
      </c>
      <c r="I526" s="73">
        <v>29250</v>
      </c>
      <c r="J526" s="98"/>
      <c r="K526" s="14"/>
      <c r="L526" s="14"/>
      <c r="M526" s="14"/>
    </row>
    <row r="527" spans="1:13" ht="60" x14ac:dyDescent="0.25">
      <c r="A527" s="117"/>
      <c r="B527" s="123"/>
      <c r="C527" s="117"/>
      <c r="D527" s="107" t="s">
        <v>795</v>
      </c>
      <c r="E527" s="107" t="s">
        <v>16</v>
      </c>
      <c r="F527" s="107" t="s">
        <v>6</v>
      </c>
      <c r="G527" s="110">
        <v>1520.5492071697668</v>
      </c>
      <c r="H527" s="110">
        <v>1625.13</v>
      </c>
      <c r="I527" s="80">
        <v>1625.13</v>
      </c>
      <c r="J527" s="98"/>
      <c r="K527" s="14"/>
      <c r="L527" s="14"/>
      <c r="M527" s="14"/>
    </row>
    <row r="528" spans="1:13" ht="60" x14ac:dyDescent="0.25">
      <c r="A528" s="116" t="s">
        <v>903</v>
      </c>
      <c r="B528" s="123"/>
      <c r="C528" s="116" t="s">
        <v>125</v>
      </c>
      <c r="D528" s="107" t="s">
        <v>1745</v>
      </c>
      <c r="E528" s="107" t="s">
        <v>2208</v>
      </c>
      <c r="F528" s="107" t="s">
        <v>80</v>
      </c>
      <c r="G528" s="19">
        <v>86</v>
      </c>
      <c r="H528" s="19">
        <v>86</v>
      </c>
      <c r="I528" s="73">
        <v>86</v>
      </c>
      <c r="J528" s="98"/>
      <c r="K528" s="14"/>
      <c r="L528" s="14"/>
      <c r="M528" s="14"/>
    </row>
    <row r="529" spans="1:13" ht="60" x14ac:dyDescent="0.25">
      <c r="A529" s="117"/>
      <c r="B529" s="123"/>
      <c r="C529" s="117"/>
      <c r="D529" s="107" t="s">
        <v>795</v>
      </c>
      <c r="E529" s="107" t="s">
        <v>16</v>
      </c>
      <c r="F529" s="107" t="s">
        <v>6</v>
      </c>
      <c r="G529" s="110">
        <v>7582.771042010806</v>
      </c>
      <c r="H529" s="110">
        <v>8104.30116</v>
      </c>
      <c r="I529" s="80">
        <v>8111.0792499999998</v>
      </c>
      <c r="J529" s="98"/>
      <c r="K529" s="14"/>
      <c r="L529" s="14"/>
      <c r="M529" s="14"/>
    </row>
    <row r="530" spans="1:13" ht="60" x14ac:dyDescent="0.25">
      <c r="A530" s="116" t="s">
        <v>904</v>
      </c>
      <c r="B530" s="123"/>
      <c r="C530" s="116" t="s">
        <v>125</v>
      </c>
      <c r="D530" s="107" t="s">
        <v>1746</v>
      </c>
      <c r="E530" s="107" t="s">
        <v>2209</v>
      </c>
      <c r="F530" s="107" t="s">
        <v>80</v>
      </c>
      <c r="G530" s="19">
        <v>5</v>
      </c>
      <c r="H530" s="19">
        <v>5</v>
      </c>
      <c r="I530" s="73">
        <v>5</v>
      </c>
      <c r="J530" s="98"/>
      <c r="K530" s="14"/>
      <c r="L530" s="14"/>
      <c r="M530" s="14"/>
    </row>
    <row r="531" spans="1:13" ht="60" x14ac:dyDescent="0.25">
      <c r="A531" s="117"/>
      <c r="B531" s="123"/>
      <c r="C531" s="117"/>
      <c r="D531" s="107" t="s">
        <v>795</v>
      </c>
      <c r="E531" s="107" t="s">
        <v>16</v>
      </c>
      <c r="F531" s="107" t="s">
        <v>6</v>
      </c>
      <c r="G531" s="110">
        <v>458.25260393764671</v>
      </c>
      <c r="H531" s="110">
        <v>489.77044000000001</v>
      </c>
      <c r="I531" s="80">
        <v>467.88427000000001</v>
      </c>
      <c r="J531" s="98"/>
      <c r="K531" s="14"/>
      <c r="L531" s="14"/>
      <c r="M531" s="14"/>
    </row>
    <row r="532" spans="1:13" ht="106.5" customHeight="1" x14ac:dyDescent="0.25">
      <c r="A532" s="116" t="s">
        <v>905</v>
      </c>
      <c r="B532" s="123"/>
      <c r="C532" s="116" t="s">
        <v>125</v>
      </c>
      <c r="D532" s="107" t="s">
        <v>1747</v>
      </c>
      <c r="E532" s="107" t="s">
        <v>2210</v>
      </c>
      <c r="F532" s="107" t="s">
        <v>80</v>
      </c>
      <c r="G532" s="19">
        <v>242</v>
      </c>
      <c r="H532" s="19">
        <v>242</v>
      </c>
      <c r="I532" s="73">
        <v>241</v>
      </c>
      <c r="J532" s="98"/>
      <c r="K532" s="14"/>
      <c r="L532" s="14"/>
      <c r="M532" s="14"/>
    </row>
    <row r="533" spans="1:13" ht="60" x14ac:dyDescent="0.25">
      <c r="A533" s="117"/>
      <c r="B533" s="123"/>
      <c r="C533" s="117"/>
      <c r="D533" s="107" t="s">
        <v>795</v>
      </c>
      <c r="E533" s="107" t="s">
        <v>16</v>
      </c>
      <c r="F533" s="107" t="s">
        <v>6</v>
      </c>
      <c r="G533" s="110">
        <v>22457.3658179054</v>
      </c>
      <c r="H533" s="110">
        <v>24001.945309999999</v>
      </c>
      <c r="I533" s="80">
        <v>23848.079809999999</v>
      </c>
      <c r="J533" s="98"/>
      <c r="K533" s="14"/>
      <c r="L533" s="14"/>
      <c r="M533" s="14"/>
    </row>
    <row r="534" spans="1:13" ht="90" x14ac:dyDescent="0.25">
      <c r="A534" s="116" t="s">
        <v>906</v>
      </c>
      <c r="B534" s="123"/>
      <c r="C534" s="116" t="s">
        <v>125</v>
      </c>
      <c r="D534" s="107" t="s">
        <v>1748</v>
      </c>
      <c r="E534" s="107" t="s">
        <v>2212</v>
      </c>
      <c r="F534" s="107" t="s">
        <v>80</v>
      </c>
      <c r="G534" s="19">
        <v>281</v>
      </c>
      <c r="H534" s="19">
        <v>281</v>
      </c>
      <c r="I534" s="73">
        <v>281</v>
      </c>
      <c r="J534" s="98"/>
      <c r="K534" s="14"/>
      <c r="L534" s="14"/>
      <c r="M534" s="14"/>
    </row>
    <row r="535" spans="1:13" ht="60" x14ac:dyDescent="0.25">
      <c r="A535" s="117"/>
      <c r="B535" s="123"/>
      <c r="C535" s="117"/>
      <c r="D535" s="107" t="s">
        <v>795</v>
      </c>
      <c r="E535" s="107" t="s">
        <v>16</v>
      </c>
      <c r="F535" s="107" t="s">
        <v>6</v>
      </c>
      <c r="G535" s="110">
        <v>25300.009866573411</v>
      </c>
      <c r="H535" s="110">
        <v>27040.101589999998</v>
      </c>
      <c r="I535" s="80">
        <v>26198.76139</v>
      </c>
      <c r="J535" s="98"/>
      <c r="K535" s="14"/>
      <c r="L535" s="14"/>
      <c r="M535" s="14"/>
    </row>
    <row r="536" spans="1:13" ht="90" x14ac:dyDescent="0.25">
      <c r="A536" s="116" t="s">
        <v>907</v>
      </c>
      <c r="B536" s="123"/>
      <c r="C536" s="116" t="s">
        <v>125</v>
      </c>
      <c r="D536" s="104" t="s">
        <v>1749</v>
      </c>
      <c r="E536" s="107" t="s">
        <v>2211</v>
      </c>
      <c r="F536" s="107" t="s">
        <v>80</v>
      </c>
      <c r="G536" s="19">
        <v>117</v>
      </c>
      <c r="H536" s="19">
        <v>117</v>
      </c>
      <c r="I536" s="73">
        <v>117</v>
      </c>
      <c r="J536" s="98"/>
      <c r="K536" s="14"/>
      <c r="L536" s="14"/>
      <c r="M536" s="14"/>
    </row>
    <row r="537" spans="1:13" ht="60" x14ac:dyDescent="0.25">
      <c r="A537" s="117"/>
      <c r="B537" s="123"/>
      <c r="C537" s="117"/>
      <c r="D537" s="107" t="s">
        <v>794</v>
      </c>
      <c r="E537" s="107" t="s">
        <v>16</v>
      </c>
      <c r="F537" s="107" t="s">
        <v>6</v>
      </c>
      <c r="G537" s="110">
        <v>9841.5098797152514</v>
      </c>
      <c r="H537" s="110">
        <v>10518.392220000002</v>
      </c>
      <c r="I537" s="80">
        <v>10731.42295</v>
      </c>
      <c r="J537" s="98"/>
      <c r="K537" s="14"/>
      <c r="L537" s="14"/>
      <c r="M537" s="14"/>
    </row>
    <row r="538" spans="1:13" ht="90" x14ac:dyDescent="0.25">
      <c r="A538" s="116" t="s">
        <v>908</v>
      </c>
      <c r="B538" s="123"/>
      <c r="C538" s="116" t="s">
        <v>125</v>
      </c>
      <c r="D538" s="107" t="s">
        <v>1750</v>
      </c>
      <c r="E538" s="107" t="s">
        <v>2213</v>
      </c>
      <c r="F538" s="107" t="s">
        <v>80</v>
      </c>
      <c r="G538" s="19">
        <v>126</v>
      </c>
      <c r="H538" s="19">
        <v>126</v>
      </c>
      <c r="I538" s="73">
        <v>125</v>
      </c>
      <c r="J538" s="98"/>
      <c r="K538" s="14"/>
      <c r="L538" s="14"/>
      <c r="M538" s="14"/>
    </row>
    <row r="539" spans="1:13" ht="60" x14ac:dyDescent="0.25">
      <c r="A539" s="117"/>
      <c r="B539" s="123"/>
      <c r="C539" s="117"/>
      <c r="D539" s="107" t="s">
        <v>803</v>
      </c>
      <c r="E539" s="107" t="s">
        <v>16</v>
      </c>
      <c r="F539" s="107" t="s">
        <v>6</v>
      </c>
      <c r="G539" s="110">
        <v>12540.798463840827</v>
      </c>
      <c r="H539" s="110">
        <v>13403.33329</v>
      </c>
      <c r="I539" s="80">
        <v>13281.64518</v>
      </c>
      <c r="J539" s="98"/>
      <c r="K539" s="14"/>
      <c r="L539" s="14"/>
      <c r="M539" s="14"/>
    </row>
    <row r="540" spans="1:13" ht="105" x14ac:dyDescent="0.25">
      <c r="A540" s="116" t="s">
        <v>909</v>
      </c>
      <c r="B540" s="123"/>
      <c r="C540" s="116" t="s">
        <v>125</v>
      </c>
      <c r="D540" s="107" t="s">
        <v>1751</v>
      </c>
      <c r="E540" s="107" t="s">
        <v>2214</v>
      </c>
      <c r="F540" s="107" t="s">
        <v>80</v>
      </c>
      <c r="G540" s="19">
        <v>19</v>
      </c>
      <c r="H540" s="19">
        <v>19</v>
      </c>
      <c r="I540" s="73">
        <v>19</v>
      </c>
      <c r="J540" s="98"/>
      <c r="K540" s="14"/>
      <c r="L540" s="14"/>
      <c r="M540" s="14"/>
    </row>
    <row r="541" spans="1:13" ht="60" x14ac:dyDescent="0.25">
      <c r="A541" s="117"/>
      <c r="B541" s="123"/>
      <c r="C541" s="117"/>
      <c r="D541" s="107" t="s">
        <v>795</v>
      </c>
      <c r="E541" s="107" t="s">
        <v>16</v>
      </c>
      <c r="F541" s="107" t="s">
        <v>6</v>
      </c>
      <c r="G541" s="110">
        <v>1675.2633697465735</v>
      </c>
      <c r="H541" s="110">
        <v>1790.48514</v>
      </c>
      <c r="I541" s="80">
        <v>1791.9826200000002</v>
      </c>
      <c r="J541" s="98"/>
      <c r="K541" s="14"/>
      <c r="L541" s="14"/>
      <c r="M541" s="14"/>
    </row>
    <row r="542" spans="1:13" ht="120" x14ac:dyDescent="0.25">
      <c r="A542" s="116" t="s">
        <v>910</v>
      </c>
      <c r="B542" s="123"/>
      <c r="C542" s="116" t="s">
        <v>125</v>
      </c>
      <c r="D542" s="107" t="s">
        <v>1752</v>
      </c>
      <c r="E542" s="107" t="s">
        <v>2215</v>
      </c>
      <c r="F542" s="107" t="s">
        <v>80</v>
      </c>
      <c r="G542" s="19">
        <v>87</v>
      </c>
      <c r="H542" s="19">
        <v>87</v>
      </c>
      <c r="I542" s="73">
        <v>87</v>
      </c>
      <c r="J542" s="98"/>
      <c r="K542" s="14"/>
      <c r="L542" s="14"/>
      <c r="M542" s="14"/>
    </row>
    <row r="543" spans="1:13" ht="60" x14ac:dyDescent="0.25">
      <c r="A543" s="117"/>
      <c r="B543" s="123"/>
      <c r="C543" s="117"/>
      <c r="D543" s="107" t="s">
        <v>795</v>
      </c>
      <c r="E543" s="107" t="s">
        <v>16</v>
      </c>
      <c r="F543" s="107" t="s">
        <v>6</v>
      </c>
      <c r="G543" s="110">
        <v>9178.5823403335471</v>
      </c>
      <c r="H543" s="110">
        <v>9809.8696500000005</v>
      </c>
      <c r="I543" s="80">
        <v>9794.2114299999994</v>
      </c>
      <c r="J543" s="98"/>
      <c r="K543" s="14"/>
      <c r="L543" s="14"/>
      <c r="M543" s="14"/>
    </row>
    <row r="544" spans="1:13" ht="90" x14ac:dyDescent="0.25">
      <c r="A544" s="116" t="s">
        <v>911</v>
      </c>
      <c r="B544" s="123"/>
      <c r="C544" s="116" t="s">
        <v>125</v>
      </c>
      <c r="D544" s="107" t="s">
        <v>1753</v>
      </c>
      <c r="E544" s="107" t="s">
        <v>2216</v>
      </c>
      <c r="F544" s="107" t="s">
        <v>80</v>
      </c>
      <c r="G544" s="19">
        <v>34</v>
      </c>
      <c r="H544" s="19">
        <v>34</v>
      </c>
      <c r="I544" s="73">
        <v>34</v>
      </c>
      <c r="J544" s="98"/>
      <c r="K544" s="14"/>
      <c r="L544" s="14"/>
      <c r="M544" s="14"/>
    </row>
    <row r="545" spans="1:13" ht="60" x14ac:dyDescent="0.25">
      <c r="A545" s="117"/>
      <c r="B545" s="123"/>
      <c r="C545" s="117"/>
      <c r="D545" s="107" t="s">
        <v>795</v>
      </c>
      <c r="E545" s="107" t="s">
        <v>16</v>
      </c>
      <c r="F545" s="107" t="s">
        <v>68</v>
      </c>
      <c r="G545" s="110">
        <v>2997.8397142833419</v>
      </c>
      <c r="H545" s="110">
        <v>3204.0260400000002</v>
      </c>
      <c r="I545" s="80">
        <v>3206.7057500000001</v>
      </c>
      <c r="J545" s="98"/>
      <c r="K545" s="14"/>
      <c r="L545" s="14"/>
      <c r="M545" s="14"/>
    </row>
    <row r="546" spans="1:13" ht="75" x14ac:dyDescent="0.25">
      <c r="A546" s="116" t="s">
        <v>912</v>
      </c>
      <c r="B546" s="123"/>
      <c r="C546" s="116" t="s">
        <v>2153</v>
      </c>
      <c r="D546" s="107" t="s">
        <v>1754</v>
      </c>
      <c r="E546" s="107" t="s">
        <v>2217</v>
      </c>
      <c r="F546" s="107" t="s">
        <v>80</v>
      </c>
      <c r="G546" s="19">
        <v>38</v>
      </c>
      <c r="H546" s="19">
        <v>38</v>
      </c>
      <c r="I546" s="73">
        <v>38</v>
      </c>
      <c r="J546" s="98"/>
      <c r="K546" s="14"/>
      <c r="L546" s="14"/>
      <c r="M546" s="14"/>
    </row>
    <row r="547" spans="1:13" ht="60" x14ac:dyDescent="0.25">
      <c r="A547" s="117"/>
      <c r="B547" s="123"/>
      <c r="C547" s="117"/>
      <c r="D547" s="107" t="s">
        <v>795</v>
      </c>
      <c r="E547" s="107" t="s">
        <v>16</v>
      </c>
      <c r="F547" s="107" t="s">
        <v>6</v>
      </c>
      <c r="G547" s="110">
        <v>3350.526739493147</v>
      </c>
      <c r="H547" s="110">
        <v>3580.97028</v>
      </c>
      <c r="I547" s="80">
        <v>3583.9652500000002</v>
      </c>
      <c r="J547" s="98"/>
      <c r="K547" s="14"/>
      <c r="L547" s="14"/>
      <c r="M547" s="14"/>
    </row>
    <row r="548" spans="1:13" ht="60" x14ac:dyDescent="0.25">
      <c r="A548" s="116" t="s">
        <v>913</v>
      </c>
      <c r="B548" s="123"/>
      <c r="C548" s="116" t="s">
        <v>2153</v>
      </c>
      <c r="D548" s="107" t="s">
        <v>1755</v>
      </c>
      <c r="E548" s="107" t="s">
        <v>2218</v>
      </c>
      <c r="F548" s="107" t="s">
        <v>80</v>
      </c>
      <c r="G548" s="19">
        <v>17</v>
      </c>
      <c r="H548" s="19">
        <v>17</v>
      </c>
      <c r="I548" s="73">
        <v>17</v>
      </c>
      <c r="J548" s="98"/>
      <c r="K548" s="14"/>
      <c r="L548" s="14"/>
      <c r="M548" s="14"/>
    </row>
    <row r="549" spans="1:13" ht="60" x14ac:dyDescent="0.25">
      <c r="A549" s="117"/>
      <c r="B549" s="123"/>
      <c r="C549" s="117"/>
      <c r="D549" s="107" t="s">
        <v>795</v>
      </c>
      <c r="E549" s="107" t="s">
        <v>16</v>
      </c>
      <c r="F549" s="107" t="s">
        <v>6</v>
      </c>
      <c r="G549" s="110">
        <v>1200.9096530102181</v>
      </c>
      <c r="H549" s="110">
        <v>1283.5061799999999</v>
      </c>
      <c r="I549" s="80">
        <v>1358.6735200000001</v>
      </c>
      <c r="J549" s="98"/>
      <c r="K549" s="14"/>
      <c r="L549" s="14"/>
      <c r="M549" s="14"/>
    </row>
    <row r="550" spans="1:13" ht="60" x14ac:dyDescent="0.25">
      <c r="A550" s="116" t="s">
        <v>914</v>
      </c>
      <c r="B550" s="123"/>
      <c r="C550" s="116" t="s">
        <v>125</v>
      </c>
      <c r="D550" s="107" t="s">
        <v>1756</v>
      </c>
      <c r="E550" s="107" t="s">
        <v>2219</v>
      </c>
      <c r="F550" s="107" t="s">
        <v>80</v>
      </c>
      <c r="G550" s="19">
        <v>162</v>
      </c>
      <c r="H550" s="19">
        <v>162</v>
      </c>
      <c r="I550" s="73">
        <v>163</v>
      </c>
      <c r="J550" s="98"/>
      <c r="K550" s="14"/>
      <c r="L550" s="14"/>
      <c r="M550" s="14"/>
    </row>
    <row r="551" spans="1:13" ht="60" x14ac:dyDescent="0.25">
      <c r="A551" s="117"/>
      <c r="B551" s="123"/>
      <c r="C551" s="117"/>
      <c r="D551" s="107" t="s">
        <v>794</v>
      </c>
      <c r="E551" s="107" t="s">
        <v>16</v>
      </c>
      <c r="F551" s="107" t="s">
        <v>6</v>
      </c>
      <c r="G551" s="110">
        <v>13671.237561968612</v>
      </c>
      <c r="H551" s="110">
        <v>14611.522070000001</v>
      </c>
      <c r="I551" s="80">
        <v>14684.355959999999</v>
      </c>
      <c r="J551" s="98"/>
      <c r="K551" s="14"/>
      <c r="L551" s="14"/>
      <c r="M551" s="14"/>
    </row>
    <row r="552" spans="1:13" ht="75" x14ac:dyDescent="0.25">
      <c r="A552" s="116" t="s">
        <v>915</v>
      </c>
      <c r="B552" s="123"/>
      <c r="C552" s="116" t="s">
        <v>125</v>
      </c>
      <c r="D552" s="107" t="s">
        <v>1757</v>
      </c>
      <c r="E552" s="107" t="s">
        <v>2220</v>
      </c>
      <c r="F552" s="107" t="s">
        <v>80</v>
      </c>
      <c r="G552" s="19">
        <v>27</v>
      </c>
      <c r="H552" s="19">
        <v>27</v>
      </c>
      <c r="I552" s="73">
        <v>28</v>
      </c>
      <c r="J552" s="98"/>
      <c r="K552" s="14"/>
      <c r="L552" s="14"/>
      <c r="M552" s="14"/>
    </row>
    <row r="553" spans="1:13" ht="60" x14ac:dyDescent="0.25">
      <c r="A553" s="117"/>
      <c r="B553" s="123"/>
      <c r="C553" s="117"/>
      <c r="D553" s="107" t="s">
        <v>795</v>
      </c>
      <c r="E553" s="107" t="s">
        <v>16</v>
      </c>
      <c r="F553" s="107" t="s">
        <v>6</v>
      </c>
      <c r="G553" s="110">
        <v>2425.345111090603</v>
      </c>
      <c r="H553" s="110">
        <v>2592.1562300000001</v>
      </c>
      <c r="I553" s="80">
        <v>2691.0363500000003</v>
      </c>
      <c r="J553" s="98"/>
      <c r="K553" s="14"/>
      <c r="L553" s="14"/>
      <c r="M553" s="14"/>
    </row>
    <row r="554" spans="1:13" ht="60" x14ac:dyDescent="0.25">
      <c r="A554" s="116" t="s">
        <v>916</v>
      </c>
      <c r="B554" s="123"/>
      <c r="C554" s="116" t="s">
        <v>125</v>
      </c>
      <c r="D554" s="107" t="s">
        <v>1758</v>
      </c>
      <c r="E554" s="107" t="s">
        <v>2221</v>
      </c>
      <c r="F554" s="107" t="s">
        <v>80</v>
      </c>
      <c r="G554" s="19">
        <v>44</v>
      </c>
      <c r="H554" s="19">
        <v>44</v>
      </c>
      <c r="I554" s="73">
        <v>44</v>
      </c>
      <c r="J554" s="98"/>
      <c r="K554" s="14"/>
      <c r="L554" s="14"/>
      <c r="M554" s="14"/>
    </row>
    <row r="555" spans="1:13" ht="60" x14ac:dyDescent="0.25">
      <c r="A555" s="117"/>
      <c r="B555" s="123"/>
      <c r="C555" s="117"/>
      <c r="D555" s="107" t="s">
        <v>795</v>
      </c>
      <c r="E555" s="107" t="s">
        <v>16</v>
      </c>
      <c r="F555" s="107" t="s">
        <v>6</v>
      </c>
      <c r="G555" s="110">
        <v>3418.2754389691759</v>
      </c>
      <c r="H555" s="110">
        <v>3653.37862</v>
      </c>
      <c r="I555" s="80">
        <v>3619.3972800000001</v>
      </c>
      <c r="J555" s="98"/>
      <c r="K555" s="14"/>
      <c r="L555" s="14"/>
      <c r="M555" s="14"/>
    </row>
    <row r="556" spans="1:13" ht="75" x14ac:dyDescent="0.25">
      <c r="A556" s="116" t="s">
        <v>917</v>
      </c>
      <c r="B556" s="123"/>
      <c r="C556" s="116" t="s">
        <v>125</v>
      </c>
      <c r="D556" s="107" t="s">
        <v>1759</v>
      </c>
      <c r="E556" s="107" t="s">
        <v>2222</v>
      </c>
      <c r="F556" s="107" t="s">
        <v>80</v>
      </c>
      <c r="G556" s="19">
        <v>87</v>
      </c>
      <c r="H556" s="19">
        <v>87</v>
      </c>
      <c r="I556" s="73">
        <v>86</v>
      </c>
      <c r="J556" s="98"/>
      <c r="K556" s="14"/>
      <c r="L556" s="14"/>
      <c r="M556" s="14"/>
    </row>
    <row r="557" spans="1:13" ht="60" x14ac:dyDescent="0.25">
      <c r="A557" s="117"/>
      <c r="B557" s="123"/>
      <c r="C557" s="117"/>
      <c r="D557" s="107" t="s">
        <v>795</v>
      </c>
      <c r="E557" s="107" t="s">
        <v>16</v>
      </c>
      <c r="F557" s="107" t="s">
        <v>6</v>
      </c>
      <c r="G557" s="110">
        <v>4655.4275567838058</v>
      </c>
      <c r="H557" s="110">
        <v>4975.61996</v>
      </c>
      <c r="I557" s="80">
        <v>4913.2437399999999</v>
      </c>
      <c r="J557" s="98"/>
      <c r="K557" s="14"/>
      <c r="L557" s="14"/>
      <c r="M557" s="14"/>
    </row>
    <row r="558" spans="1:13" ht="75" x14ac:dyDescent="0.25">
      <c r="A558" s="116" t="s">
        <v>918</v>
      </c>
      <c r="B558" s="123"/>
      <c r="C558" s="116" t="s">
        <v>2224</v>
      </c>
      <c r="D558" s="107" t="s">
        <v>1760</v>
      </c>
      <c r="E558" s="107" t="s">
        <v>2223</v>
      </c>
      <c r="F558" s="107" t="s">
        <v>80</v>
      </c>
      <c r="G558" s="19">
        <v>129</v>
      </c>
      <c r="H558" s="19">
        <v>129</v>
      </c>
      <c r="I558" s="73">
        <v>128</v>
      </c>
      <c r="J558" s="98"/>
      <c r="K558" s="14"/>
      <c r="L558" s="14"/>
      <c r="M558" s="14"/>
    </row>
    <row r="559" spans="1:13" ht="60" x14ac:dyDescent="0.25">
      <c r="A559" s="117"/>
      <c r="B559" s="123"/>
      <c r="C559" s="117"/>
      <c r="D559" s="107" t="s">
        <v>795</v>
      </c>
      <c r="E559" s="107" t="s">
        <v>16</v>
      </c>
      <c r="F559" s="107" t="s">
        <v>6</v>
      </c>
      <c r="G559" s="110">
        <v>10459.613539436525</v>
      </c>
      <c r="H559" s="110">
        <v>11179.008</v>
      </c>
      <c r="I559" s="80">
        <v>11053.732239999999</v>
      </c>
      <c r="J559" s="98"/>
      <c r="K559" s="14"/>
      <c r="L559" s="14"/>
      <c r="M559" s="14"/>
    </row>
    <row r="560" spans="1:13" ht="75" x14ac:dyDescent="0.25">
      <c r="A560" s="116" t="s">
        <v>919</v>
      </c>
      <c r="B560" s="123"/>
      <c r="C560" s="116" t="s">
        <v>2224</v>
      </c>
      <c r="D560" s="107" t="s">
        <v>1760</v>
      </c>
      <c r="E560" s="107" t="s">
        <v>2223</v>
      </c>
      <c r="F560" s="107" t="s">
        <v>80</v>
      </c>
      <c r="G560" s="19">
        <v>108</v>
      </c>
      <c r="H560" s="19">
        <v>108</v>
      </c>
      <c r="I560" s="73">
        <v>108</v>
      </c>
      <c r="J560" s="98"/>
      <c r="K560" s="14"/>
      <c r="L560" s="14"/>
      <c r="M560" s="14"/>
    </row>
    <row r="561" spans="1:13" ht="60" x14ac:dyDescent="0.25">
      <c r="A561" s="117"/>
      <c r="B561" s="123"/>
      <c r="C561" s="117"/>
      <c r="D561" s="107" t="s">
        <v>802</v>
      </c>
      <c r="E561" s="107" t="s">
        <v>16</v>
      </c>
      <c r="F561" s="107" t="s">
        <v>6</v>
      </c>
      <c r="G561" s="110">
        <v>8752.1367350326418</v>
      </c>
      <c r="H561" s="110">
        <v>9354.0938399999995</v>
      </c>
      <c r="I561" s="80">
        <v>9352.5216099999998</v>
      </c>
      <c r="J561" s="98"/>
      <c r="K561" s="14"/>
      <c r="L561" s="14"/>
      <c r="M561" s="14"/>
    </row>
    <row r="562" spans="1:13" ht="75" x14ac:dyDescent="0.25">
      <c r="A562" s="116" t="s">
        <v>920</v>
      </c>
      <c r="B562" s="123"/>
      <c r="C562" s="116" t="s">
        <v>125</v>
      </c>
      <c r="D562" s="107" t="s">
        <v>1759</v>
      </c>
      <c r="E562" s="107" t="s">
        <v>2222</v>
      </c>
      <c r="F562" s="107" t="s">
        <v>80</v>
      </c>
      <c r="G562" s="19">
        <v>9</v>
      </c>
      <c r="H562" s="19">
        <v>9</v>
      </c>
      <c r="I562" s="73">
        <v>9</v>
      </c>
      <c r="J562" s="98"/>
      <c r="K562" s="14"/>
      <c r="L562" s="14"/>
      <c r="M562" s="14"/>
    </row>
    <row r="563" spans="1:13" ht="60" x14ac:dyDescent="0.25">
      <c r="A563" s="117"/>
      <c r="B563" s="123"/>
      <c r="C563" s="117"/>
      <c r="D563" s="107" t="s">
        <v>802</v>
      </c>
      <c r="E563" s="107" t="s">
        <v>16</v>
      </c>
      <c r="F563" s="107" t="s">
        <v>6</v>
      </c>
      <c r="G563" s="110">
        <v>748.47279213864829</v>
      </c>
      <c r="H563" s="110">
        <v>799.95147999999995</v>
      </c>
      <c r="I563" s="80">
        <v>799.76281000000006</v>
      </c>
      <c r="J563" s="313"/>
      <c r="K563" s="54"/>
      <c r="L563" s="14"/>
      <c r="M563" s="14"/>
    </row>
    <row r="564" spans="1:13" ht="60" x14ac:dyDescent="0.25">
      <c r="A564" s="116" t="s">
        <v>921</v>
      </c>
      <c r="B564" s="123"/>
      <c r="C564" s="116" t="s">
        <v>125</v>
      </c>
      <c r="D564" s="107" t="s">
        <v>1761</v>
      </c>
      <c r="E564" s="107" t="s">
        <v>2225</v>
      </c>
      <c r="F564" s="107" t="s">
        <v>80</v>
      </c>
      <c r="G564" s="19">
        <v>57</v>
      </c>
      <c r="H564" s="19">
        <v>57</v>
      </c>
      <c r="I564" s="73">
        <v>56</v>
      </c>
      <c r="J564" s="98"/>
      <c r="K564" s="14"/>
      <c r="L564" s="14"/>
      <c r="M564" s="14"/>
    </row>
    <row r="565" spans="1:13" ht="60" x14ac:dyDescent="0.25">
      <c r="A565" s="117"/>
      <c r="B565" s="123"/>
      <c r="C565" s="117"/>
      <c r="D565" s="107" t="s">
        <v>795</v>
      </c>
      <c r="E565" s="107" t="s">
        <v>16</v>
      </c>
      <c r="F565" s="107" t="s">
        <v>6</v>
      </c>
      <c r="G565" s="110">
        <v>2752.3062491409692</v>
      </c>
      <c r="H565" s="110">
        <v>2941.6052</v>
      </c>
      <c r="I565" s="80">
        <v>2886.1353300000001</v>
      </c>
      <c r="J565" s="98"/>
      <c r="K565" s="14"/>
      <c r="L565" s="14"/>
      <c r="M565" s="14"/>
    </row>
    <row r="566" spans="1:13" ht="60" x14ac:dyDescent="0.25">
      <c r="A566" s="116" t="s">
        <v>922</v>
      </c>
      <c r="B566" s="123"/>
      <c r="C566" s="116" t="s">
        <v>125</v>
      </c>
      <c r="D566" s="107" t="s">
        <v>1761</v>
      </c>
      <c r="E566" s="107" t="s">
        <v>2225</v>
      </c>
      <c r="F566" s="107" t="s">
        <v>80</v>
      </c>
      <c r="G566" s="19">
        <v>60</v>
      </c>
      <c r="H566" s="19">
        <v>60</v>
      </c>
      <c r="I566" s="73">
        <v>60</v>
      </c>
      <c r="J566" s="98"/>
      <c r="K566" s="14"/>
      <c r="L566" s="14"/>
      <c r="M566" s="14"/>
    </row>
    <row r="567" spans="1:13" ht="60" x14ac:dyDescent="0.25">
      <c r="A567" s="117"/>
      <c r="B567" s="123"/>
      <c r="C567" s="117"/>
      <c r="D567" s="107" t="s">
        <v>804</v>
      </c>
      <c r="E567" s="107" t="s">
        <v>16</v>
      </c>
      <c r="F567" s="107" t="s">
        <v>68</v>
      </c>
      <c r="G567" s="110">
        <v>4995.0371645613295</v>
      </c>
      <c r="H567" s="110">
        <v>5338.58734</v>
      </c>
      <c r="I567" s="80">
        <v>5312.1239100000003</v>
      </c>
      <c r="J567" s="313"/>
      <c r="K567" s="14"/>
      <c r="L567" s="14"/>
      <c r="M567" s="14"/>
    </row>
    <row r="568" spans="1:13" ht="60" x14ac:dyDescent="0.25">
      <c r="A568" s="116" t="s">
        <v>923</v>
      </c>
      <c r="B568" s="123"/>
      <c r="C568" s="116" t="s">
        <v>125</v>
      </c>
      <c r="D568" s="107" t="s">
        <v>1762</v>
      </c>
      <c r="E568" s="107" t="s">
        <v>2226</v>
      </c>
      <c r="F568" s="107" t="s">
        <v>80</v>
      </c>
      <c r="G568" s="19">
        <v>87</v>
      </c>
      <c r="H568" s="19">
        <v>87</v>
      </c>
      <c r="I568" s="73">
        <v>87</v>
      </c>
      <c r="J568" s="98"/>
      <c r="K568" s="14"/>
      <c r="L568" s="14"/>
      <c r="M568" s="14"/>
    </row>
    <row r="569" spans="1:13" ht="60" x14ac:dyDescent="0.25">
      <c r="A569" s="117"/>
      <c r="B569" s="123"/>
      <c r="C569" s="117"/>
      <c r="D569" s="107" t="s">
        <v>801</v>
      </c>
      <c r="E569" s="107" t="s">
        <v>16</v>
      </c>
      <c r="F569" s="107" t="s">
        <v>6</v>
      </c>
      <c r="G569" s="110">
        <v>4200.8884825762761</v>
      </c>
      <c r="H569" s="110">
        <v>4489.8184600000004</v>
      </c>
      <c r="I569" s="80">
        <v>4500.99676</v>
      </c>
      <c r="J569" s="98"/>
      <c r="K569" s="14"/>
      <c r="L569" s="14"/>
      <c r="M569" s="14"/>
    </row>
    <row r="570" spans="1:13" ht="60" x14ac:dyDescent="0.25">
      <c r="A570" s="116" t="s">
        <v>924</v>
      </c>
      <c r="B570" s="123"/>
      <c r="C570" s="116" t="s">
        <v>125</v>
      </c>
      <c r="D570" s="107" t="s">
        <v>1763</v>
      </c>
      <c r="E570" s="107" t="s">
        <v>2227</v>
      </c>
      <c r="F570" s="107" t="s">
        <v>80</v>
      </c>
      <c r="G570" s="19">
        <v>34</v>
      </c>
      <c r="H570" s="19">
        <v>34</v>
      </c>
      <c r="I570" s="73">
        <v>34</v>
      </c>
      <c r="J570" s="98"/>
      <c r="K570" s="14"/>
      <c r="L570" s="14"/>
      <c r="M570" s="14"/>
    </row>
    <row r="571" spans="1:13" ht="60" x14ac:dyDescent="0.25">
      <c r="A571" s="117"/>
      <c r="B571" s="123"/>
      <c r="C571" s="117"/>
      <c r="D571" s="107" t="s">
        <v>801</v>
      </c>
      <c r="E571" s="107" t="s">
        <v>16</v>
      </c>
      <c r="F571" s="107" t="s">
        <v>6</v>
      </c>
      <c r="G571" s="110">
        <v>1641.7265362168021</v>
      </c>
      <c r="H571" s="110">
        <v>1754.6416999999999</v>
      </c>
      <c r="I571" s="80">
        <v>1752.29645</v>
      </c>
      <c r="J571" s="98"/>
      <c r="K571" s="14"/>
      <c r="L571" s="14"/>
      <c r="M571" s="14"/>
    </row>
    <row r="572" spans="1:13" ht="60" x14ac:dyDescent="0.25">
      <c r="A572" s="116" t="s">
        <v>925</v>
      </c>
      <c r="B572" s="123"/>
      <c r="C572" s="116" t="s">
        <v>125</v>
      </c>
      <c r="D572" s="107" t="s">
        <v>1764</v>
      </c>
      <c r="E572" s="107" t="s">
        <v>2228</v>
      </c>
      <c r="F572" s="107" t="s">
        <v>80</v>
      </c>
      <c r="G572" s="19">
        <v>95</v>
      </c>
      <c r="H572" s="19">
        <v>95</v>
      </c>
      <c r="I572" s="73">
        <v>96.666666666666671</v>
      </c>
      <c r="J572" s="98"/>
      <c r="K572" s="14"/>
      <c r="L572" s="14"/>
      <c r="M572" s="14"/>
    </row>
    <row r="573" spans="1:13" ht="60" x14ac:dyDescent="0.25">
      <c r="A573" s="117"/>
      <c r="B573" s="123"/>
      <c r="C573" s="117"/>
      <c r="D573" s="107" t="s">
        <v>802</v>
      </c>
      <c r="E573" s="107" t="s">
        <v>16</v>
      </c>
      <c r="F573" s="107" t="s">
        <v>6</v>
      </c>
      <c r="G573" s="110">
        <v>4587.1770787827891</v>
      </c>
      <c r="H573" s="110">
        <v>4902.67533</v>
      </c>
      <c r="I573" s="80">
        <v>4982.0193200000003</v>
      </c>
      <c r="J573" s="98"/>
      <c r="K573" s="14"/>
      <c r="L573" s="14"/>
      <c r="M573" s="14"/>
    </row>
    <row r="574" spans="1:13" ht="75" x14ac:dyDescent="0.25">
      <c r="A574" s="116" t="s">
        <v>926</v>
      </c>
      <c r="B574" s="123"/>
      <c r="C574" s="116" t="s">
        <v>125</v>
      </c>
      <c r="D574" s="107" t="s">
        <v>1765</v>
      </c>
      <c r="E574" s="107" t="s">
        <v>2229</v>
      </c>
      <c r="F574" s="107" t="s">
        <v>80</v>
      </c>
      <c r="G574" s="19">
        <v>66</v>
      </c>
      <c r="H574" s="19">
        <v>66</v>
      </c>
      <c r="I574" s="73">
        <v>66</v>
      </c>
      <c r="J574" s="98"/>
      <c r="K574" s="14"/>
      <c r="L574" s="14"/>
      <c r="M574" s="14"/>
    </row>
    <row r="575" spans="1:13" ht="60" x14ac:dyDescent="0.25">
      <c r="A575" s="117"/>
      <c r="B575" s="123"/>
      <c r="C575" s="117"/>
      <c r="D575" s="107" t="s">
        <v>801</v>
      </c>
      <c r="E575" s="107" t="s">
        <v>16</v>
      </c>
      <c r="F575" s="107" t="s">
        <v>6</v>
      </c>
      <c r="G575" s="110">
        <v>3186.8809210428567</v>
      </c>
      <c r="H575" s="110">
        <v>3406.06918</v>
      </c>
      <c r="I575" s="80">
        <v>3384.3372599999998</v>
      </c>
      <c r="J575" s="98"/>
      <c r="K575" s="14"/>
      <c r="L575" s="14"/>
      <c r="M575" s="14"/>
    </row>
    <row r="576" spans="1:13" ht="75" x14ac:dyDescent="0.25">
      <c r="A576" s="116" t="s">
        <v>927</v>
      </c>
      <c r="B576" s="123"/>
      <c r="C576" s="116" t="s">
        <v>125</v>
      </c>
      <c r="D576" s="107" t="s">
        <v>1766</v>
      </c>
      <c r="E576" s="107" t="s">
        <v>2230</v>
      </c>
      <c r="F576" s="107" t="s">
        <v>80</v>
      </c>
      <c r="G576" s="19">
        <v>79</v>
      </c>
      <c r="H576" s="19">
        <v>79</v>
      </c>
      <c r="I576" s="73">
        <v>78</v>
      </c>
      <c r="J576" s="98"/>
      <c r="K576" s="14"/>
      <c r="L576" s="14"/>
      <c r="M576" s="14"/>
    </row>
    <row r="577" spans="1:13" ht="60" x14ac:dyDescent="0.25">
      <c r="A577" s="117"/>
      <c r="B577" s="123"/>
      <c r="C577" s="117"/>
      <c r="D577" s="107" t="s">
        <v>801</v>
      </c>
      <c r="E577" s="107" t="s">
        <v>16</v>
      </c>
      <c r="F577" s="107" t="s">
        <v>6</v>
      </c>
      <c r="G577" s="110">
        <v>3814.5998863697623</v>
      </c>
      <c r="H577" s="110">
        <v>4076.9615899999999</v>
      </c>
      <c r="I577" s="80">
        <v>4002.7948300000003</v>
      </c>
      <c r="J577" s="98"/>
      <c r="K577" s="14"/>
      <c r="L577" s="14"/>
      <c r="M577" s="14"/>
    </row>
    <row r="578" spans="1:13" ht="60" x14ac:dyDescent="0.25">
      <c r="A578" s="116" t="s">
        <v>928</v>
      </c>
      <c r="B578" s="123"/>
      <c r="C578" s="116" t="s">
        <v>125</v>
      </c>
      <c r="D578" s="107" t="s">
        <v>1767</v>
      </c>
      <c r="E578" s="107" t="s">
        <v>2231</v>
      </c>
      <c r="F578" s="107" t="s">
        <v>80</v>
      </c>
      <c r="G578" s="19">
        <v>93</v>
      </c>
      <c r="H578" s="19">
        <v>93</v>
      </c>
      <c r="I578" s="73">
        <v>94.333333333333329</v>
      </c>
      <c r="J578" s="98"/>
      <c r="K578" s="14"/>
      <c r="L578" s="14"/>
      <c r="M578" s="14"/>
    </row>
    <row r="579" spans="1:13" ht="60" x14ac:dyDescent="0.25">
      <c r="A579" s="117"/>
      <c r="B579" s="123"/>
      <c r="C579" s="117"/>
      <c r="D579" s="107" t="s">
        <v>801</v>
      </c>
      <c r="E579" s="107" t="s">
        <v>16</v>
      </c>
      <c r="F579" s="107" t="s">
        <v>6</v>
      </c>
      <c r="G579" s="110">
        <v>4490.6049273920416</v>
      </c>
      <c r="H579" s="110">
        <v>4799.4611100000002</v>
      </c>
      <c r="I579" s="80">
        <v>4861.76368</v>
      </c>
      <c r="J579" s="98"/>
      <c r="K579" s="14"/>
      <c r="L579" s="14"/>
      <c r="M579" s="14"/>
    </row>
    <row r="580" spans="1:13" ht="60" x14ac:dyDescent="0.25">
      <c r="A580" s="116" t="s">
        <v>929</v>
      </c>
      <c r="B580" s="123"/>
      <c r="C580" s="116" t="s">
        <v>125</v>
      </c>
      <c r="D580" s="107" t="s">
        <v>1768</v>
      </c>
      <c r="E580" s="107" t="s">
        <v>2231</v>
      </c>
      <c r="F580" s="107" t="s">
        <v>80</v>
      </c>
      <c r="G580" s="19">
        <v>24</v>
      </c>
      <c r="H580" s="19">
        <v>24</v>
      </c>
      <c r="I580" s="73">
        <v>24.333333333333332</v>
      </c>
      <c r="J580" s="98"/>
      <c r="K580" s="14"/>
      <c r="L580" s="14"/>
      <c r="M580" s="14"/>
    </row>
    <row r="581" spans="1:13" ht="60" x14ac:dyDescent="0.25">
      <c r="A581" s="117"/>
      <c r="B581" s="123"/>
      <c r="C581" s="117"/>
      <c r="D581" s="107" t="s">
        <v>801</v>
      </c>
      <c r="E581" s="107" t="s">
        <v>16</v>
      </c>
      <c r="F581" s="107" t="s">
        <v>6</v>
      </c>
      <c r="G581" s="110">
        <v>1158.865788619541</v>
      </c>
      <c r="H581" s="110">
        <v>1238.5706100000002</v>
      </c>
      <c r="I581" s="80">
        <v>1254.0945200000001</v>
      </c>
      <c r="J581" s="98"/>
      <c r="K581" s="14"/>
      <c r="L581" s="14"/>
      <c r="M581" s="14"/>
    </row>
    <row r="582" spans="1:13" ht="60" x14ac:dyDescent="0.25">
      <c r="A582" s="116" t="s">
        <v>930</v>
      </c>
      <c r="B582" s="123"/>
      <c r="C582" s="116" t="s">
        <v>125</v>
      </c>
      <c r="D582" s="107" t="s">
        <v>1769</v>
      </c>
      <c r="E582" s="107" t="s">
        <v>2232</v>
      </c>
      <c r="F582" s="107" t="s">
        <v>80</v>
      </c>
      <c r="G582" s="19">
        <v>35</v>
      </c>
      <c r="H582" s="19">
        <v>35</v>
      </c>
      <c r="I582" s="73">
        <v>35.333333333333336</v>
      </c>
      <c r="J582" s="98"/>
      <c r="K582" s="14"/>
      <c r="L582" s="14"/>
      <c r="M582" s="14"/>
    </row>
    <row r="583" spans="1:13" ht="60" x14ac:dyDescent="0.25">
      <c r="A583" s="117"/>
      <c r="B583" s="123"/>
      <c r="C583" s="117"/>
      <c r="D583" s="107" t="s">
        <v>801</v>
      </c>
      <c r="E583" s="107" t="s">
        <v>16</v>
      </c>
      <c r="F583" s="107" t="s">
        <v>6</v>
      </c>
      <c r="G583" s="110">
        <v>1690.0126025556988</v>
      </c>
      <c r="H583" s="110">
        <v>1806.2488000000001</v>
      </c>
      <c r="I583" s="80">
        <v>1821.01396</v>
      </c>
      <c r="J583" s="98"/>
      <c r="K583" s="14"/>
      <c r="L583" s="14"/>
      <c r="M583" s="14"/>
    </row>
    <row r="584" spans="1:13" ht="120" x14ac:dyDescent="0.25">
      <c r="A584" s="116" t="s">
        <v>931</v>
      </c>
      <c r="B584" s="123"/>
      <c r="C584" s="116" t="s">
        <v>125</v>
      </c>
      <c r="D584" s="107" t="s">
        <v>1770</v>
      </c>
      <c r="E584" s="107" t="s">
        <v>2233</v>
      </c>
      <c r="F584" s="107" t="s">
        <v>80</v>
      </c>
      <c r="G584" s="19">
        <v>86</v>
      </c>
      <c r="H584" s="19">
        <v>86</v>
      </c>
      <c r="I584" s="73">
        <v>86</v>
      </c>
      <c r="J584" s="98"/>
      <c r="K584" s="14"/>
      <c r="L584" s="14"/>
      <c r="M584" s="14"/>
    </row>
    <row r="585" spans="1:13" ht="60" x14ac:dyDescent="0.25">
      <c r="A585" s="117"/>
      <c r="B585" s="123"/>
      <c r="C585" s="117"/>
      <c r="D585" s="107" t="s">
        <v>801</v>
      </c>
      <c r="E585" s="107" t="s">
        <v>16</v>
      </c>
      <c r="F585" s="107" t="s">
        <v>6</v>
      </c>
      <c r="G585" s="110">
        <v>4152.602406880902</v>
      </c>
      <c r="H585" s="110">
        <v>4438.2113499999996</v>
      </c>
      <c r="I585" s="80">
        <v>4432.2792599999993</v>
      </c>
      <c r="J585" s="98"/>
      <c r="K585" s="14"/>
      <c r="L585" s="14"/>
      <c r="M585" s="14"/>
    </row>
    <row r="586" spans="1:13" ht="120" x14ac:dyDescent="0.25">
      <c r="A586" s="116" t="s">
        <v>932</v>
      </c>
      <c r="B586" s="123"/>
      <c r="C586" s="116" t="s">
        <v>125</v>
      </c>
      <c r="D586" s="107" t="s">
        <v>1771</v>
      </c>
      <c r="E586" s="107" t="s">
        <v>2234</v>
      </c>
      <c r="F586" s="107" t="s">
        <v>80</v>
      </c>
      <c r="G586" s="19">
        <v>117</v>
      </c>
      <c r="H586" s="19">
        <v>117</v>
      </c>
      <c r="I586" s="73">
        <v>114.33333333333333</v>
      </c>
      <c r="J586" s="98"/>
      <c r="K586" s="14"/>
      <c r="L586" s="14"/>
      <c r="M586" s="14"/>
    </row>
    <row r="587" spans="1:13" ht="60" x14ac:dyDescent="0.25">
      <c r="A587" s="117"/>
      <c r="B587" s="123"/>
      <c r="C587" s="117"/>
      <c r="D587" s="107" t="s">
        <v>801</v>
      </c>
      <c r="E587" s="107" t="s">
        <v>16</v>
      </c>
      <c r="F587" s="107" t="s">
        <v>6</v>
      </c>
      <c r="G587" s="110">
        <v>5649.4707160115822</v>
      </c>
      <c r="H587" s="110">
        <v>6038.03172</v>
      </c>
      <c r="I587" s="80">
        <v>5892.5262999999995</v>
      </c>
      <c r="J587" s="98"/>
      <c r="K587" s="14"/>
      <c r="L587" s="14"/>
      <c r="M587" s="14"/>
    </row>
    <row r="588" spans="1:13" ht="90" x14ac:dyDescent="0.25">
      <c r="A588" s="116" t="s">
        <v>933</v>
      </c>
      <c r="B588" s="123"/>
      <c r="C588" s="116" t="s">
        <v>125</v>
      </c>
      <c r="D588" s="107" t="s">
        <v>1772</v>
      </c>
      <c r="E588" s="107" t="s">
        <v>2235</v>
      </c>
      <c r="F588" s="107" t="s">
        <v>80</v>
      </c>
      <c r="G588" s="19">
        <v>96</v>
      </c>
      <c r="H588" s="19">
        <v>96</v>
      </c>
      <c r="I588" s="73">
        <v>96</v>
      </c>
      <c r="J588" s="98"/>
      <c r="K588" s="14"/>
      <c r="L588" s="14"/>
      <c r="M588" s="14"/>
    </row>
    <row r="589" spans="1:13" ht="60" x14ac:dyDescent="0.25">
      <c r="A589" s="117"/>
      <c r="B589" s="123"/>
      <c r="C589" s="117"/>
      <c r="D589" s="107" t="s">
        <v>801</v>
      </c>
      <c r="E589" s="107" t="s">
        <v>16</v>
      </c>
      <c r="F589" s="107" t="s">
        <v>6</v>
      </c>
      <c r="G589" s="110">
        <v>4635.4631544781641</v>
      </c>
      <c r="H589" s="110">
        <v>4954.2824400000009</v>
      </c>
      <c r="I589" s="80">
        <v>4930.4811900000004</v>
      </c>
      <c r="J589" s="98"/>
      <c r="K589" s="14"/>
      <c r="L589" s="14"/>
      <c r="M589" s="14"/>
    </row>
    <row r="590" spans="1:13" ht="60" x14ac:dyDescent="0.25">
      <c r="A590" s="116" t="s">
        <v>934</v>
      </c>
      <c r="B590" s="123"/>
      <c r="C590" s="116" t="s">
        <v>125</v>
      </c>
      <c r="D590" s="107" t="s">
        <v>1773</v>
      </c>
      <c r="E590" s="107" t="s">
        <v>2236</v>
      </c>
      <c r="F590" s="107" t="s">
        <v>80</v>
      </c>
      <c r="G590" s="19">
        <v>117</v>
      </c>
      <c r="H590" s="19">
        <v>117</v>
      </c>
      <c r="I590" s="73">
        <v>115</v>
      </c>
      <c r="J590" s="98"/>
      <c r="K590" s="14"/>
      <c r="L590" s="14"/>
      <c r="M590" s="14"/>
    </row>
    <row r="591" spans="1:13" ht="60" x14ac:dyDescent="0.25">
      <c r="A591" s="117"/>
      <c r="B591" s="123"/>
      <c r="C591" s="117"/>
      <c r="D591" s="107" t="s">
        <v>801</v>
      </c>
      <c r="E591" s="107" t="s">
        <v>16</v>
      </c>
      <c r="F591" s="107" t="s">
        <v>6</v>
      </c>
      <c r="G591" s="110">
        <v>5649.4707160115822</v>
      </c>
      <c r="H591" s="110">
        <v>6038.03172</v>
      </c>
      <c r="I591" s="80">
        <v>5909.70568</v>
      </c>
      <c r="J591" s="98"/>
      <c r="K591" s="14"/>
      <c r="L591" s="14"/>
      <c r="M591" s="14"/>
    </row>
    <row r="592" spans="1:13" ht="60" x14ac:dyDescent="0.25">
      <c r="A592" s="116" t="s">
        <v>935</v>
      </c>
      <c r="B592" s="123"/>
      <c r="C592" s="116" t="s">
        <v>125</v>
      </c>
      <c r="D592" s="107" t="s">
        <v>1774</v>
      </c>
      <c r="E592" s="107" t="s">
        <v>2237</v>
      </c>
      <c r="F592" s="107" t="s">
        <v>80</v>
      </c>
      <c r="G592" s="19">
        <v>67</v>
      </c>
      <c r="H592" s="19">
        <v>67</v>
      </c>
      <c r="I592" s="73">
        <v>68</v>
      </c>
      <c r="J592" s="98"/>
      <c r="K592" s="14"/>
      <c r="L592" s="14"/>
      <c r="M592" s="14"/>
    </row>
    <row r="593" spans="1:13" ht="60" x14ac:dyDescent="0.25">
      <c r="A593" s="117"/>
      <c r="B593" s="123"/>
      <c r="C593" s="117"/>
      <c r="D593" s="107" t="s">
        <v>801</v>
      </c>
      <c r="E593" s="107" t="s">
        <v>16</v>
      </c>
      <c r="F593" s="107" t="s">
        <v>6</v>
      </c>
      <c r="G593" s="110">
        <v>3235.1669873817527</v>
      </c>
      <c r="H593" s="110">
        <v>3457.6762799999997</v>
      </c>
      <c r="I593" s="80">
        <v>3504.5929000000001</v>
      </c>
      <c r="J593" s="98"/>
      <c r="K593" s="14"/>
      <c r="L593" s="14"/>
      <c r="M593" s="14"/>
    </row>
    <row r="594" spans="1:13" ht="60" x14ac:dyDescent="0.25">
      <c r="A594" s="116" t="s">
        <v>936</v>
      </c>
      <c r="B594" s="123"/>
      <c r="C594" s="116" t="s">
        <v>125</v>
      </c>
      <c r="D594" s="107" t="s">
        <v>1775</v>
      </c>
      <c r="E594" s="107" t="s">
        <v>2238</v>
      </c>
      <c r="F594" s="107" t="s">
        <v>80</v>
      </c>
      <c r="G594" s="19">
        <v>99</v>
      </c>
      <c r="H594" s="19">
        <v>99</v>
      </c>
      <c r="I594" s="73">
        <v>101.33333333333333</v>
      </c>
      <c r="J594" s="98"/>
      <c r="K594" s="14"/>
      <c r="L594" s="14"/>
      <c r="M594" s="14"/>
    </row>
    <row r="595" spans="1:13" ht="60" x14ac:dyDescent="0.25">
      <c r="A595" s="117"/>
      <c r="B595" s="123"/>
      <c r="C595" s="117"/>
      <c r="D595" s="107" t="s">
        <v>801</v>
      </c>
      <c r="E595" s="107" t="s">
        <v>16</v>
      </c>
      <c r="F595" s="107" t="s">
        <v>68</v>
      </c>
      <c r="G595" s="110">
        <v>4780.3213722078071</v>
      </c>
      <c r="H595" s="110">
        <v>5109.10376</v>
      </c>
      <c r="I595" s="80">
        <v>5222.5305900000003</v>
      </c>
      <c r="J595" s="98"/>
      <c r="K595" s="14"/>
      <c r="L595" s="14"/>
      <c r="M595" s="14"/>
    </row>
    <row r="596" spans="1:13" ht="90" x14ac:dyDescent="0.25">
      <c r="A596" s="116" t="s">
        <v>937</v>
      </c>
      <c r="B596" s="123"/>
      <c r="C596" s="116" t="s">
        <v>125</v>
      </c>
      <c r="D596" s="104" t="s">
        <v>1776</v>
      </c>
      <c r="E596" s="107" t="s">
        <v>2239</v>
      </c>
      <c r="F596" s="107" t="s">
        <v>80</v>
      </c>
      <c r="G596" s="19">
        <v>44</v>
      </c>
      <c r="H596" s="19">
        <v>44</v>
      </c>
      <c r="I596" s="73">
        <v>44</v>
      </c>
      <c r="J596" s="98"/>
      <c r="K596" s="14"/>
      <c r="L596" s="14"/>
      <c r="M596" s="14"/>
    </row>
    <row r="597" spans="1:13" ht="60" x14ac:dyDescent="0.25">
      <c r="A597" s="117"/>
      <c r="B597" s="123"/>
      <c r="C597" s="117"/>
      <c r="D597" s="107" t="s">
        <v>801</v>
      </c>
      <c r="E597" s="107" t="s">
        <v>16</v>
      </c>
      <c r="F597" s="107" t="s">
        <v>68</v>
      </c>
      <c r="G597" s="110">
        <v>2124.5872744575859</v>
      </c>
      <c r="H597" s="110">
        <v>2270.7127799999998</v>
      </c>
      <c r="I597" s="80">
        <v>2267.6777599999996</v>
      </c>
      <c r="J597" s="98"/>
      <c r="K597" s="14"/>
      <c r="L597" s="14"/>
      <c r="M597" s="14"/>
    </row>
    <row r="598" spans="1:13" ht="75" x14ac:dyDescent="0.25">
      <c r="A598" s="116" t="s">
        <v>938</v>
      </c>
      <c r="B598" s="123"/>
      <c r="C598" s="116" t="s">
        <v>125</v>
      </c>
      <c r="D598" s="107" t="s">
        <v>1777</v>
      </c>
      <c r="E598" s="107" t="s">
        <v>2240</v>
      </c>
      <c r="F598" s="107" t="s">
        <v>80</v>
      </c>
      <c r="G598" s="19">
        <v>154</v>
      </c>
      <c r="H598" s="19">
        <v>154</v>
      </c>
      <c r="I598" s="73">
        <v>148</v>
      </c>
      <c r="J598" s="98"/>
      <c r="K598" s="14"/>
      <c r="L598" s="14"/>
      <c r="M598" s="14"/>
    </row>
    <row r="599" spans="1:13" ht="60" x14ac:dyDescent="0.25">
      <c r="A599" s="117"/>
      <c r="B599" s="123"/>
      <c r="C599" s="117"/>
      <c r="D599" s="107" t="s">
        <v>795</v>
      </c>
      <c r="E599" s="107" t="s">
        <v>16</v>
      </c>
      <c r="F599" s="107" t="s">
        <v>68</v>
      </c>
      <c r="G599" s="110">
        <v>11260.422002954914</v>
      </c>
      <c r="H599" s="110">
        <f>12034.89471+300</f>
        <v>12334.89471</v>
      </c>
      <c r="I599" s="80">
        <v>12324.970080000001</v>
      </c>
      <c r="J599" s="98"/>
      <c r="K599" s="14"/>
      <c r="L599" s="14"/>
      <c r="M599" s="14"/>
    </row>
    <row r="600" spans="1:13" ht="67.5" customHeight="1" x14ac:dyDescent="0.25">
      <c r="A600" s="116" t="s">
        <v>939</v>
      </c>
      <c r="B600" s="123"/>
      <c r="C600" s="116" t="s">
        <v>125</v>
      </c>
      <c r="D600" s="107" t="s">
        <v>1778</v>
      </c>
      <c r="E600" s="107" t="s">
        <v>2241</v>
      </c>
      <c r="F600" s="107" t="s">
        <v>80</v>
      </c>
      <c r="G600" s="19">
        <v>103</v>
      </c>
      <c r="H600" s="19">
        <v>103</v>
      </c>
      <c r="I600" s="73">
        <v>101</v>
      </c>
      <c r="J600" s="98"/>
      <c r="K600" s="14"/>
      <c r="L600" s="14"/>
      <c r="M600" s="14"/>
    </row>
    <row r="601" spans="1:13" ht="60" x14ac:dyDescent="0.25">
      <c r="A601" s="117"/>
      <c r="B601" s="123"/>
      <c r="C601" s="117"/>
      <c r="D601" s="107" t="s">
        <v>795</v>
      </c>
      <c r="E601" s="107" t="s">
        <v>16</v>
      </c>
      <c r="F601" s="107" t="s">
        <v>6</v>
      </c>
      <c r="G601" s="110">
        <v>7531.3212138392219</v>
      </c>
      <c r="H601" s="110">
        <v>8049.3127000000004</v>
      </c>
      <c r="I601" s="80">
        <v>8410.9593100000002</v>
      </c>
      <c r="J601" s="98"/>
      <c r="K601" s="14"/>
      <c r="L601" s="14"/>
      <c r="M601" s="14"/>
    </row>
    <row r="602" spans="1:13" ht="69.75" customHeight="1" x14ac:dyDescent="0.25">
      <c r="A602" s="116" t="s">
        <v>940</v>
      </c>
      <c r="B602" s="123"/>
      <c r="C602" s="116" t="s">
        <v>125</v>
      </c>
      <c r="D602" s="107" t="s">
        <v>1779</v>
      </c>
      <c r="E602" s="107" t="s">
        <v>2242</v>
      </c>
      <c r="F602" s="107" t="s">
        <v>80</v>
      </c>
      <c r="G602" s="19">
        <v>39</v>
      </c>
      <c r="H602" s="19">
        <v>39</v>
      </c>
      <c r="I602" s="73">
        <v>37</v>
      </c>
      <c r="J602" s="98"/>
      <c r="K602" s="14"/>
      <c r="L602" s="14"/>
      <c r="M602" s="14"/>
    </row>
    <row r="603" spans="1:13" ht="60" x14ac:dyDescent="0.25">
      <c r="A603" s="117"/>
      <c r="B603" s="123"/>
      <c r="C603" s="117"/>
      <c r="D603" s="107" t="s">
        <v>795</v>
      </c>
      <c r="E603" s="107" t="s">
        <v>16</v>
      </c>
      <c r="F603" s="107" t="s">
        <v>6</v>
      </c>
      <c r="G603" s="110">
        <v>3217.2634334256086</v>
      </c>
      <c r="H603" s="110">
        <v>3438.54135</v>
      </c>
      <c r="I603" s="80">
        <v>3081.2425200000002</v>
      </c>
      <c r="J603" s="98"/>
      <c r="K603" s="14"/>
      <c r="L603" s="14"/>
      <c r="M603" s="14"/>
    </row>
    <row r="604" spans="1:13" ht="75" x14ac:dyDescent="0.25">
      <c r="A604" s="116" t="s">
        <v>941</v>
      </c>
      <c r="B604" s="123"/>
      <c r="C604" s="116" t="s">
        <v>125</v>
      </c>
      <c r="D604" s="107" t="s">
        <v>1780</v>
      </c>
      <c r="E604" s="107" t="s">
        <v>2243</v>
      </c>
      <c r="F604" s="107" t="s">
        <v>80</v>
      </c>
      <c r="G604" s="19">
        <v>83</v>
      </c>
      <c r="H604" s="19">
        <v>83</v>
      </c>
      <c r="I604" s="73">
        <v>81</v>
      </c>
      <c r="J604" s="98"/>
      <c r="K604" s="14"/>
      <c r="L604" s="14"/>
      <c r="M604" s="14"/>
    </row>
    <row r="605" spans="1:13" ht="60" x14ac:dyDescent="0.25">
      <c r="A605" s="117"/>
      <c r="B605" s="123"/>
      <c r="C605" s="117"/>
      <c r="D605" s="107" t="s">
        <v>795</v>
      </c>
      <c r="E605" s="107" t="s">
        <v>16</v>
      </c>
      <c r="F605" s="107" t="s">
        <v>6</v>
      </c>
      <c r="G605" s="110">
        <v>6453.212126422367</v>
      </c>
      <c r="H605" s="110">
        <f>6897.0531+300</f>
        <v>7197.0531000000001</v>
      </c>
      <c r="I605" s="80">
        <v>7040.5499800000007</v>
      </c>
      <c r="J605" s="98"/>
      <c r="K605" s="14"/>
      <c r="L605" s="14"/>
      <c r="M605" s="14"/>
    </row>
    <row r="606" spans="1:13" ht="60" x14ac:dyDescent="0.25">
      <c r="A606" s="116" t="s">
        <v>942</v>
      </c>
      <c r="B606" s="123"/>
      <c r="C606" s="116" t="s">
        <v>125</v>
      </c>
      <c r="D606" s="107" t="s">
        <v>1781</v>
      </c>
      <c r="E606" s="107" t="s">
        <v>2244</v>
      </c>
      <c r="F606" s="107" t="s">
        <v>80</v>
      </c>
      <c r="G606" s="19">
        <v>84</v>
      </c>
      <c r="H606" s="19">
        <v>84</v>
      </c>
      <c r="I606" s="73">
        <v>86</v>
      </c>
      <c r="J606" s="98"/>
      <c r="K606" s="14"/>
      <c r="L606" s="14"/>
      <c r="M606" s="14"/>
    </row>
    <row r="607" spans="1:13" ht="60" x14ac:dyDescent="0.25">
      <c r="A607" s="117"/>
      <c r="B607" s="123"/>
      <c r="C607" s="117"/>
      <c r="D607" s="107" t="s">
        <v>795</v>
      </c>
      <c r="E607" s="107" t="s">
        <v>16</v>
      </c>
      <c r="F607" s="107" t="s">
        <v>68</v>
      </c>
      <c r="G607" s="110">
        <v>6120.6470464223676</v>
      </c>
      <c r="H607" s="110">
        <v>6564.4880199999998</v>
      </c>
      <c r="I607" s="80">
        <v>7161.8069400000004</v>
      </c>
      <c r="J607" s="98"/>
      <c r="K607" s="14"/>
      <c r="L607" s="14"/>
      <c r="M607" s="14"/>
    </row>
    <row r="608" spans="1:13" ht="90" x14ac:dyDescent="0.25">
      <c r="A608" s="116" t="s">
        <v>943</v>
      </c>
      <c r="B608" s="123"/>
      <c r="C608" s="116" t="s">
        <v>125</v>
      </c>
      <c r="D608" s="107" t="s">
        <v>1782</v>
      </c>
      <c r="E608" s="107" t="s">
        <v>2245</v>
      </c>
      <c r="F608" s="107" t="s">
        <v>80</v>
      </c>
      <c r="G608" s="19">
        <v>85</v>
      </c>
      <c r="H608" s="19">
        <v>85</v>
      </c>
      <c r="I608" s="73">
        <v>84</v>
      </c>
      <c r="J608" s="98"/>
      <c r="K608" s="14"/>
      <c r="L608" s="14"/>
      <c r="M608" s="14"/>
    </row>
    <row r="609" spans="1:13" ht="60" x14ac:dyDescent="0.25">
      <c r="A609" s="117"/>
      <c r="B609" s="123"/>
      <c r="C609" s="117"/>
      <c r="D609" s="107" t="s">
        <v>805</v>
      </c>
      <c r="E609" s="107" t="s">
        <v>16</v>
      </c>
      <c r="F609" s="107" t="s">
        <v>68</v>
      </c>
      <c r="G609" s="110">
        <v>6215.1679880971396</v>
      </c>
      <c r="H609" s="110">
        <v>6642.6366900000003</v>
      </c>
      <c r="I609" s="80">
        <v>6995.2532899999997</v>
      </c>
      <c r="J609" s="98"/>
      <c r="K609" s="14"/>
      <c r="L609" s="14"/>
      <c r="M609" s="14"/>
    </row>
    <row r="610" spans="1:13" ht="90" x14ac:dyDescent="0.25">
      <c r="A610" s="116" t="s">
        <v>944</v>
      </c>
      <c r="B610" s="123"/>
      <c r="C610" s="116" t="s">
        <v>125</v>
      </c>
      <c r="D610" s="107" t="s">
        <v>1783</v>
      </c>
      <c r="E610" s="107" t="s">
        <v>2246</v>
      </c>
      <c r="F610" s="107" t="s">
        <v>80</v>
      </c>
      <c r="G610" s="19">
        <v>21</v>
      </c>
      <c r="H610" s="19">
        <v>21</v>
      </c>
      <c r="I610" s="73">
        <v>20</v>
      </c>
      <c r="J610" s="98"/>
      <c r="K610" s="14"/>
      <c r="L610" s="14"/>
      <c r="M610" s="14"/>
    </row>
    <row r="611" spans="1:13" ht="60" x14ac:dyDescent="0.25">
      <c r="A611" s="117"/>
      <c r="B611" s="123"/>
      <c r="C611" s="117"/>
      <c r="D611" s="107" t="s">
        <v>795</v>
      </c>
      <c r="E611" s="107" t="s">
        <v>16</v>
      </c>
      <c r="F611" s="107" t="s">
        <v>6</v>
      </c>
      <c r="G611" s="110">
        <v>2120.4690770811267</v>
      </c>
      <c r="H611" s="110">
        <v>2266.3113399999997</v>
      </c>
      <c r="I611" s="80">
        <v>1665.5364999999999</v>
      </c>
      <c r="J611" s="98"/>
      <c r="K611" s="14"/>
      <c r="L611" s="14"/>
      <c r="M611" s="14"/>
    </row>
    <row r="612" spans="1:13" ht="60" x14ac:dyDescent="0.25">
      <c r="A612" s="116" t="s">
        <v>945</v>
      </c>
      <c r="B612" s="123"/>
      <c r="C612" s="116" t="s">
        <v>125</v>
      </c>
      <c r="D612" s="107" t="s">
        <v>1784</v>
      </c>
      <c r="E612" s="107" t="s">
        <v>2247</v>
      </c>
      <c r="F612" s="107" t="s">
        <v>80</v>
      </c>
      <c r="G612" s="19">
        <v>60</v>
      </c>
      <c r="H612" s="19">
        <v>60</v>
      </c>
      <c r="I612" s="73">
        <v>58</v>
      </c>
      <c r="J612" s="98"/>
      <c r="K612" s="14"/>
      <c r="L612" s="14"/>
      <c r="M612" s="14"/>
    </row>
    <row r="613" spans="1:13" ht="60" x14ac:dyDescent="0.25">
      <c r="A613" s="117"/>
      <c r="B613" s="123"/>
      <c r="C613" s="117"/>
      <c r="D613" s="107" t="s">
        <v>795</v>
      </c>
      <c r="E613" s="107" t="s">
        <v>16</v>
      </c>
      <c r="F613" s="107" t="s">
        <v>6</v>
      </c>
      <c r="G613" s="110">
        <v>4387.1774066649723</v>
      </c>
      <c r="H613" s="110">
        <v>4688.9200199999996</v>
      </c>
      <c r="I613" s="80">
        <v>4830.05584</v>
      </c>
      <c r="J613" s="98"/>
      <c r="K613" s="14"/>
      <c r="L613" s="14"/>
      <c r="M613" s="14"/>
    </row>
    <row r="614" spans="1:13" ht="79.5" customHeight="1" x14ac:dyDescent="0.25">
      <c r="A614" s="116" t="s">
        <v>946</v>
      </c>
      <c r="B614" s="123"/>
      <c r="C614" s="116" t="s">
        <v>125</v>
      </c>
      <c r="D614" s="107" t="s">
        <v>1785</v>
      </c>
      <c r="E614" s="107" t="s">
        <v>2248</v>
      </c>
      <c r="F614" s="107" t="s">
        <v>80</v>
      </c>
      <c r="G614" s="19">
        <v>84</v>
      </c>
      <c r="H614" s="19">
        <v>84</v>
      </c>
      <c r="I614" s="73">
        <v>85</v>
      </c>
      <c r="J614" s="98"/>
      <c r="K614" s="14"/>
      <c r="L614" s="14"/>
      <c r="M614" s="14"/>
    </row>
    <row r="615" spans="1:13" ht="60" x14ac:dyDescent="0.25">
      <c r="A615" s="117"/>
      <c r="B615" s="123"/>
      <c r="C615" s="117"/>
      <c r="D615" s="107" t="s">
        <v>795</v>
      </c>
      <c r="E615" s="107" t="s">
        <v>16</v>
      </c>
      <c r="F615" s="107" t="s">
        <v>6</v>
      </c>
      <c r="G615" s="110">
        <v>7698.643688142306</v>
      </c>
      <c r="H615" s="110">
        <v>8228.1433300000008</v>
      </c>
      <c r="I615" s="80">
        <v>7954.0325599999996</v>
      </c>
      <c r="J615" s="98"/>
      <c r="K615" s="14"/>
      <c r="L615" s="14"/>
      <c r="M615" s="14"/>
    </row>
    <row r="616" spans="1:13" ht="60" x14ac:dyDescent="0.25">
      <c r="A616" s="116" t="s">
        <v>947</v>
      </c>
      <c r="B616" s="123"/>
      <c r="C616" s="116" t="s">
        <v>125</v>
      </c>
      <c r="D616" s="107" t="s">
        <v>1786</v>
      </c>
      <c r="E616" s="107" t="s">
        <v>2249</v>
      </c>
      <c r="F616" s="107" t="s">
        <v>80</v>
      </c>
      <c r="G616" s="19">
        <v>79</v>
      </c>
      <c r="H616" s="19">
        <v>79</v>
      </c>
      <c r="I616" s="73">
        <v>78</v>
      </c>
      <c r="J616" s="98"/>
      <c r="K616" s="14"/>
      <c r="L616" s="14"/>
      <c r="M616" s="14"/>
    </row>
    <row r="617" spans="1:13" ht="60" x14ac:dyDescent="0.25">
      <c r="A617" s="117"/>
      <c r="B617" s="123"/>
      <c r="C617" s="117"/>
      <c r="D617" s="107" t="s">
        <v>795</v>
      </c>
      <c r="E617" s="107" t="s">
        <v>16</v>
      </c>
      <c r="F617" s="107" t="s">
        <v>6</v>
      </c>
      <c r="G617" s="110">
        <v>7910.986443922332</v>
      </c>
      <c r="H617" s="110">
        <v>8455.0906599999998</v>
      </c>
      <c r="I617" s="80">
        <v>8409.5600599999998</v>
      </c>
      <c r="J617" s="98"/>
      <c r="K617" s="14"/>
      <c r="L617" s="14"/>
      <c r="M617" s="14"/>
    </row>
    <row r="618" spans="1:13" ht="60" x14ac:dyDescent="0.25">
      <c r="A618" s="116" t="s">
        <v>948</v>
      </c>
      <c r="B618" s="123"/>
      <c r="C618" s="116" t="s">
        <v>125</v>
      </c>
      <c r="D618" s="107" t="s">
        <v>1787</v>
      </c>
      <c r="E618" s="107" t="s">
        <v>2250</v>
      </c>
      <c r="F618" s="107" t="s">
        <v>80</v>
      </c>
      <c r="G618" s="19">
        <v>60</v>
      </c>
      <c r="H618" s="19">
        <v>60</v>
      </c>
      <c r="I618" s="73">
        <v>59</v>
      </c>
      <c r="J618" s="98"/>
      <c r="K618" s="14"/>
      <c r="L618" s="14"/>
      <c r="M618" s="14"/>
    </row>
    <row r="619" spans="1:13" ht="60" x14ac:dyDescent="0.25">
      <c r="A619" s="117"/>
      <c r="B619" s="123"/>
      <c r="C619" s="117"/>
      <c r="D619" s="107" t="s">
        <v>795</v>
      </c>
      <c r="E619" s="107" t="s">
        <v>16</v>
      </c>
      <c r="F619" s="107" t="s">
        <v>6</v>
      </c>
      <c r="G619" s="110">
        <v>5660.3136382308176</v>
      </c>
      <c r="H619" s="110">
        <v>6049.6204000000007</v>
      </c>
      <c r="I619" s="80">
        <v>5791.5567300000002</v>
      </c>
      <c r="J619" s="98"/>
      <c r="K619" s="14"/>
      <c r="L619" s="14"/>
      <c r="M619" s="14"/>
    </row>
    <row r="620" spans="1:13" ht="60" x14ac:dyDescent="0.25">
      <c r="A620" s="116" t="s">
        <v>949</v>
      </c>
      <c r="B620" s="123"/>
      <c r="C620" s="116" t="s">
        <v>125</v>
      </c>
      <c r="D620" s="107" t="s">
        <v>1788</v>
      </c>
      <c r="E620" s="107" t="s">
        <v>2251</v>
      </c>
      <c r="F620" s="107" t="s">
        <v>80</v>
      </c>
      <c r="G620" s="19">
        <v>58</v>
      </c>
      <c r="H620" s="19">
        <v>58</v>
      </c>
      <c r="I620" s="73">
        <v>58</v>
      </c>
      <c r="J620" s="98"/>
      <c r="K620" s="14"/>
      <c r="L620" s="14"/>
      <c r="M620" s="14"/>
    </row>
    <row r="621" spans="1:13" ht="60" x14ac:dyDescent="0.25">
      <c r="A621" s="117"/>
      <c r="B621" s="123"/>
      <c r="C621" s="117"/>
      <c r="D621" s="107" t="s">
        <v>795</v>
      </c>
      <c r="E621" s="107" t="s">
        <v>16</v>
      </c>
      <c r="F621" s="107" t="s">
        <v>6</v>
      </c>
      <c r="G621" s="110">
        <v>5808.0659921847173</v>
      </c>
      <c r="H621" s="110">
        <v>6207.5349100000003</v>
      </c>
      <c r="I621" s="80">
        <v>6253.2626100000007</v>
      </c>
      <c r="J621" s="98"/>
      <c r="K621" s="14"/>
      <c r="L621" s="14"/>
      <c r="M621" s="14"/>
    </row>
    <row r="622" spans="1:13" ht="60" x14ac:dyDescent="0.25">
      <c r="A622" s="116" t="s">
        <v>950</v>
      </c>
      <c r="B622" s="123"/>
      <c r="C622" s="116" t="s">
        <v>125</v>
      </c>
      <c r="D622" s="107" t="s">
        <v>1789</v>
      </c>
      <c r="E622" s="107" t="s">
        <v>2252</v>
      </c>
      <c r="F622" s="107" t="s">
        <v>80</v>
      </c>
      <c r="G622" s="19">
        <v>15</v>
      </c>
      <c r="H622" s="19">
        <v>15</v>
      </c>
      <c r="I622" s="73">
        <v>15</v>
      </c>
      <c r="J622" s="98"/>
      <c r="K622" s="14"/>
      <c r="L622" s="14"/>
      <c r="M622" s="14"/>
    </row>
    <row r="623" spans="1:13" ht="60" x14ac:dyDescent="0.25">
      <c r="A623" s="117"/>
      <c r="B623" s="123"/>
      <c r="C623" s="117"/>
      <c r="D623" s="107" t="s">
        <v>795</v>
      </c>
      <c r="E623" s="107" t="s">
        <v>16</v>
      </c>
      <c r="F623" s="107" t="s">
        <v>6</v>
      </c>
      <c r="G623" s="110">
        <v>1502.0860329455206</v>
      </c>
      <c r="H623" s="110">
        <v>1605.39696</v>
      </c>
      <c r="I623" s="80">
        <v>1617.2230900000002</v>
      </c>
      <c r="J623" s="98"/>
      <c r="K623" s="14"/>
      <c r="L623" s="14"/>
      <c r="M623" s="14"/>
    </row>
    <row r="624" spans="1:13" ht="60" x14ac:dyDescent="0.25">
      <c r="A624" s="116" t="s">
        <v>951</v>
      </c>
      <c r="B624" s="123"/>
      <c r="C624" s="116" t="s">
        <v>125</v>
      </c>
      <c r="D624" s="107" t="s">
        <v>1790</v>
      </c>
      <c r="E624" s="107" t="s">
        <v>2253</v>
      </c>
      <c r="F624" s="107" t="s">
        <v>80</v>
      </c>
      <c r="G624" s="19">
        <v>42</v>
      </c>
      <c r="H624" s="19">
        <v>42</v>
      </c>
      <c r="I624" s="73">
        <v>42</v>
      </c>
      <c r="J624" s="98"/>
      <c r="K624" s="14"/>
      <c r="L624" s="14"/>
      <c r="M624" s="14"/>
    </row>
    <row r="625" spans="1:13" ht="60" x14ac:dyDescent="0.25">
      <c r="A625" s="117"/>
      <c r="B625" s="123"/>
      <c r="C625" s="117"/>
      <c r="D625" s="107" t="s">
        <v>795</v>
      </c>
      <c r="E625" s="107" t="s">
        <v>16</v>
      </c>
      <c r="F625" s="107" t="s">
        <v>6</v>
      </c>
      <c r="G625" s="110">
        <v>4205.8408941187536</v>
      </c>
      <c r="H625" s="110">
        <v>4495.1114900000002</v>
      </c>
      <c r="I625" s="80">
        <v>4528.2246500000001</v>
      </c>
      <c r="J625" s="98"/>
      <c r="K625" s="14"/>
      <c r="L625" s="14"/>
      <c r="M625" s="14"/>
    </row>
    <row r="626" spans="1:13" ht="60" x14ac:dyDescent="0.25">
      <c r="A626" s="116" t="s">
        <v>952</v>
      </c>
      <c r="B626" s="123"/>
      <c r="C626" s="116" t="s">
        <v>125</v>
      </c>
      <c r="D626" s="107" t="s">
        <v>1791</v>
      </c>
      <c r="E626" s="107" t="s">
        <v>2254</v>
      </c>
      <c r="F626" s="107" t="s">
        <v>80</v>
      </c>
      <c r="G626" s="19">
        <v>5</v>
      </c>
      <c r="H626" s="19">
        <v>5</v>
      </c>
      <c r="I626" s="73">
        <v>4</v>
      </c>
      <c r="J626" s="98"/>
      <c r="K626" s="14"/>
      <c r="L626" s="14"/>
      <c r="M626" s="14"/>
    </row>
    <row r="627" spans="1:13" ht="60" x14ac:dyDescent="0.25">
      <c r="A627" s="117"/>
      <c r="B627" s="123"/>
      <c r="C627" s="117"/>
      <c r="D627" s="107" t="s">
        <v>795</v>
      </c>
      <c r="E627" s="107" t="s">
        <v>16</v>
      </c>
      <c r="F627" s="107" t="s">
        <v>6</v>
      </c>
      <c r="G627" s="110">
        <v>500.69534431517343</v>
      </c>
      <c r="H627" s="110">
        <v>535.13231999999994</v>
      </c>
      <c r="I627" s="80">
        <v>431.25948999999997</v>
      </c>
      <c r="J627" s="98"/>
      <c r="K627" s="14"/>
      <c r="L627" s="14"/>
      <c r="M627" s="14"/>
    </row>
    <row r="628" spans="1:13" ht="60" x14ac:dyDescent="0.25">
      <c r="A628" s="116" t="s">
        <v>953</v>
      </c>
      <c r="B628" s="123"/>
      <c r="C628" s="116" t="s">
        <v>125</v>
      </c>
      <c r="D628" s="107" t="s">
        <v>1792</v>
      </c>
      <c r="E628" s="107" t="s">
        <v>2255</v>
      </c>
      <c r="F628" s="107" t="s">
        <v>80</v>
      </c>
      <c r="G628" s="19">
        <v>39</v>
      </c>
      <c r="H628" s="19">
        <v>39</v>
      </c>
      <c r="I628" s="73">
        <v>39</v>
      </c>
      <c r="J628" s="98"/>
      <c r="K628" s="14"/>
      <c r="L628" s="14"/>
      <c r="M628" s="14"/>
    </row>
    <row r="629" spans="1:13" ht="60" x14ac:dyDescent="0.25">
      <c r="A629" s="117"/>
      <c r="B629" s="123"/>
      <c r="C629" s="117"/>
      <c r="D629" s="107" t="s">
        <v>795</v>
      </c>
      <c r="E629" s="107" t="s">
        <v>16</v>
      </c>
      <c r="F629" s="107" t="s">
        <v>6</v>
      </c>
      <c r="G629" s="110">
        <v>3534.2659673590861</v>
      </c>
      <c r="H629" s="110">
        <v>3777.3467799999999</v>
      </c>
      <c r="I629" s="80">
        <v>3705.1922100000002</v>
      </c>
      <c r="J629" s="98"/>
      <c r="K629" s="14"/>
      <c r="L629" s="14"/>
      <c r="M629" s="14"/>
    </row>
    <row r="630" spans="1:13" ht="60" x14ac:dyDescent="0.25">
      <c r="A630" s="116" t="s">
        <v>954</v>
      </c>
      <c r="B630" s="123"/>
      <c r="C630" s="116" t="s">
        <v>125</v>
      </c>
      <c r="D630" s="107" t="s">
        <v>1793</v>
      </c>
      <c r="E630" s="107" t="s">
        <v>2256</v>
      </c>
      <c r="F630" s="107" t="s">
        <v>80</v>
      </c>
      <c r="G630" s="19">
        <v>6</v>
      </c>
      <c r="H630" s="19">
        <v>6</v>
      </c>
      <c r="I630" s="73">
        <v>6</v>
      </c>
      <c r="J630" s="98"/>
      <c r="K630" s="14"/>
      <c r="L630" s="14"/>
      <c r="M630" s="14"/>
    </row>
    <row r="631" spans="1:13" ht="60" x14ac:dyDescent="0.25">
      <c r="A631" s="117"/>
      <c r="B631" s="123"/>
      <c r="C631" s="117"/>
      <c r="D631" s="107" t="s">
        <v>795</v>
      </c>
      <c r="E631" s="107" t="s">
        <v>16</v>
      </c>
      <c r="F631" s="107" t="s">
        <v>6</v>
      </c>
      <c r="G631" s="110">
        <v>549.90311723999412</v>
      </c>
      <c r="H631" s="110">
        <v>587.72451999999998</v>
      </c>
      <c r="I631" s="80">
        <v>561.46112000000005</v>
      </c>
      <c r="J631" s="98"/>
      <c r="K631" s="14"/>
      <c r="L631" s="14"/>
      <c r="M631" s="14"/>
    </row>
    <row r="632" spans="1:13" ht="60" x14ac:dyDescent="0.25">
      <c r="A632" s="116" t="s">
        <v>955</v>
      </c>
      <c r="B632" s="123"/>
      <c r="C632" s="116" t="s">
        <v>125</v>
      </c>
      <c r="D632" s="107" t="s">
        <v>1794</v>
      </c>
      <c r="E632" s="107" t="s">
        <v>2257</v>
      </c>
      <c r="F632" s="107" t="s">
        <v>80</v>
      </c>
      <c r="G632" s="19">
        <v>33</v>
      </c>
      <c r="H632" s="19">
        <v>33</v>
      </c>
      <c r="I632" s="73">
        <v>33</v>
      </c>
      <c r="J632" s="98"/>
      <c r="K632" s="14"/>
      <c r="L632" s="14"/>
      <c r="M632" s="14"/>
    </row>
    <row r="633" spans="1:13" ht="60" x14ac:dyDescent="0.25">
      <c r="A633" s="117"/>
      <c r="B633" s="123"/>
      <c r="C633" s="117"/>
      <c r="D633" s="107" t="s">
        <v>795</v>
      </c>
      <c r="E633" s="107" t="s">
        <v>16</v>
      </c>
      <c r="F633" s="107" t="s">
        <v>6</v>
      </c>
      <c r="G633" s="110">
        <v>3024.4671635329228</v>
      </c>
      <c r="H633" s="110">
        <v>3232.48488</v>
      </c>
      <c r="I633" s="80">
        <v>3088.0361699999999</v>
      </c>
      <c r="J633" s="98"/>
      <c r="K633" s="14"/>
      <c r="L633" s="14"/>
      <c r="M633" s="14"/>
    </row>
    <row r="634" spans="1:13" ht="75" x14ac:dyDescent="0.25">
      <c r="A634" s="116" t="s">
        <v>956</v>
      </c>
      <c r="B634" s="123"/>
      <c r="C634" s="116" t="s">
        <v>125</v>
      </c>
      <c r="D634" s="107" t="s">
        <v>1795</v>
      </c>
      <c r="E634" s="107" t="s">
        <v>2258</v>
      </c>
      <c r="F634" s="107" t="s">
        <v>80</v>
      </c>
      <c r="G634" s="19">
        <v>68</v>
      </c>
      <c r="H634" s="19">
        <v>68</v>
      </c>
      <c r="I634" s="73">
        <v>71</v>
      </c>
      <c r="J634" s="98"/>
      <c r="K634" s="14"/>
      <c r="L634" s="14"/>
      <c r="M634" s="14"/>
    </row>
    <row r="635" spans="1:13" ht="60" x14ac:dyDescent="0.25">
      <c r="A635" s="117"/>
      <c r="B635" s="123"/>
      <c r="C635" s="117"/>
      <c r="D635" s="107" t="s">
        <v>794</v>
      </c>
      <c r="E635" s="107" t="s">
        <v>16</v>
      </c>
      <c r="F635" s="107" t="s">
        <v>6</v>
      </c>
      <c r="G635" s="110">
        <v>6232.2353630270172</v>
      </c>
      <c r="H635" s="110">
        <v>6660.8779299999997</v>
      </c>
      <c r="I635" s="80">
        <v>6643.9566100000002</v>
      </c>
      <c r="J635" s="98"/>
      <c r="K635" s="14"/>
      <c r="L635" s="14"/>
      <c r="M635" s="14"/>
    </row>
    <row r="636" spans="1:13" ht="75" x14ac:dyDescent="0.25">
      <c r="A636" s="116" t="s">
        <v>957</v>
      </c>
      <c r="B636" s="123"/>
      <c r="C636" s="116" t="s">
        <v>125</v>
      </c>
      <c r="D636" s="107" t="s">
        <v>1796</v>
      </c>
      <c r="E636" s="107" t="s">
        <v>2259</v>
      </c>
      <c r="F636" s="107" t="s">
        <v>80</v>
      </c>
      <c r="G636" s="19">
        <v>20</v>
      </c>
      <c r="H636" s="19">
        <v>20</v>
      </c>
      <c r="I636" s="73">
        <v>20</v>
      </c>
      <c r="J636" s="98"/>
      <c r="K636" s="14"/>
      <c r="L636" s="14"/>
      <c r="M636" s="14"/>
    </row>
    <row r="637" spans="1:13" ht="60" x14ac:dyDescent="0.25">
      <c r="A637" s="117"/>
      <c r="B637" s="123"/>
      <c r="C637" s="117"/>
      <c r="D637" s="107" t="s">
        <v>794</v>
      </c>
      <c r="E637" s="107" t="s">
        <v>16</v>
      </c>
      <c r="F637" s="107" t="s">
        <v>6</v>
      </c>
      <c r="G637" s="110">
        <v>1833.0104063941096</v>
      </c>
      <c r="H637" s="110">
        <v>1959.0817500000001</v>
      </c>
      <c r="I637" s="80">
        <v>1871.5370700000001</v>
      </c>
      <c r="J637" s="98"/>
      <c r="K637" s="14"/>
      <c r="L637" s="14"/>
      <c r="M637" s="14"/>
    </row>
    <row r="638" spans="1:13" ht="60" x14ac:dyDescent="0.25">
      <c r="A638" s="116" t="s">
        <v>958</v>
      </c>
      <c r="B638" s="123"/>
      <c r="C638" s="116" t="s">
        <v>125</v>
      </c>
      <c r="D638" s="107" t="s">
        <v>1797</v>
      </c>
      <c r="E638" s="107" t="s">
        <v>2260</v>
      </c>
      <c r="F638" s="107" t="s">
        <v>80</v>
      </c>
      <c r="G638" s="19">
        <v>5</v>
      </c>
      <c r="H638" s="19">
        <v>5</v>
      </c>
      <c r="I638" s="73">
        <v>5</v>
      </c>
      <c r="J638" s="98"/>
      <c r="K638" s="14"/>
      <c r="L638" s="14"/>
      <c r="M638" s="14"/>
    </row>
    <row r="639" spans="1:13" ht="60" x14ac:dyDescent="0.25">
      <c r="A639" s="117"/>
      <c r="B639" s="123"/>
      <c r="C639" s="117"/>
      <c r="D639" s="107" t="s">
        <v>795</v>
      </c>
      <c r="E639" s="107" t="s">
        <v>16</v>
      </c>
      <c r="F639" s="107" t="s">
        <v>6</v>
      </c>
      <c r="G639" s="110">
        <v>458.25260393764671</v>
      </c>
      <c r="H639" s="110">
        <v>489.77044000000001</v>
      </c>
      <c r="I639" s="80">
        <v>467.88427000000001</v>
      </c>
      <c r="J639" s="98"/>
      <c r="K639" s="14"/>
      <c r="L639" s="14"/>
      <c r="M639" s="14"/>
    </row>
    <row r="640" spans="1:13" ht="60" x14ac:dyDescent="0.25">
      <c r="A640" s="116" t="s">
        <v>959</v>
      </c>
      <c r="B640" s="123"/>
      <c r="C640" s="116" t="s">
        <v>125</v>
      </c>
      <c r="D640" s="107" t="s">
        <v>1798</v>
      </c>
      <c r="E640" s="107" t="s">
        <v>2261</v>
      </c>
      <c r="F640" s="107" t="s">
        <v>80</v>
      </c>
      <c r="G640" s="19">
        <v>3</v>
      </c>
      <c r="H640" s="19">
        <v>3</v>
      </c>
      <c r="I640" s="73">
        <v>3</v>
      </c>
      <c r="J640" s="98"/>
      <c r="K640" s="14"/>
      <c r="L640" s="14"/>
      <c r="M640" s="14"/>
    </row>
    <row r="641" spans="1:13" ht="60" x14ac:dyDescent="0.25">
      <c r="A641" s="117"/>
      <c r="B641" s="123"/>
      <c r="C641" s="117"/>
      <c r="D641" s="107" t="s">
        <v>795</v>
      </c>
      <c r="E641" s="107" t="s">
        <v>16</v>
      </c>
      <c r="F641" s="107" t="s">
        <v>6</v>
      </c>
      <c r="G641" s="110">
        <v>274.95155861999706</v>
      </c>
      <c r="H641" s="110">
        <v>293.86225999999999</v>
      </c>
      <c r="I641" s="80">
        <v>280.73056000000003</v>
      </c>
      <c r="J641" s="98"/>
      <c r="K641" s="14"/>
      <c r="L641" s="14"/>
      <c r="M641" s="14"/>
    </row>
    <row r="642" spans="1:13" ht="60" x14ac:dyDescent="0.25">
      <c r="A642" s="116" t="s">
        <v>960</v>
      </c>
      <c r="B642" s="123"/>
      <c r="C642" s="116" t="s">
        <v>125</v>
      </c>
      <c r="D642" s="107" t="s">
        <v>1799</v>
      </c>
      <c r="E642" s="107" t="s">
        <v>2262</v>
      </c>
      <c r="F642" s="107" t="s">
        <v>80</v>
      </c>
      <c r="G642" s="19">
        <v>59</v>
      </c>
      <c r="H642" s="19">
        <v>59</v>
      </c>
      <c r="I642" s="73">
        <v>60</v>
      </c>
      <c r="J642" s="98"/>
      <c r="K642" s="14"/>
      <c r="L642" s="14"/>
      <c r="M642" s="14"/>
    </row>
    <row r="643" spans="1:13" ht="60" x14ac:dyDescent="0.25">
      <c r="A643" s="117"/>
      <c r="B643" s="123"/>
      <c r="C643" s="117"/>
      <c r="D643" s="107" t="s">
        <v>795</v>
      </c>
      <c r="E643" s="107" t="s">
        <v>16</v>
      </c>
      <c r="F643" s="107" t="s">
        <v>6</v>
      </c>
      <c r="G643" s="110">
        <v>5407.3806871670267</v>
      </c>
      <c r="H643" s="110">
        <v>5779.29115</v>
      </c>
      <c r="I643" s="80">
        <f>5614.61122-38.45</f>
        <v>5576.16122</v>
      </c>
      <c r="J643" s="98"/>
      <c r="K643" s="14"/>
      <c r="L643" s="14"/>
      <c r="M643" s="14"/>
    </row>
    <row r="644" spans="1:13" ht="60" x14ac:dyDescent="0.25">
      <c r="A644" s="116" t="s">
        <v>961</v>
      </c>
      <c r="B644" s="123"/>
      <c r="C644" s="116" t="s">
        <v>2165</v>
      </c>
      <c r="D644" s="107" t="s">
        <v>1800</v>
      </c>
      <c r="E644" s="107" t="s">
        <v>2263</v>
      </c>
      <c r="F644" s="107" t="s">
        <v>80</v>
      </c>
      <c r="G644" s="19">
        <v>83</v>
      </c>
      <c r="H644" s="19">
        <v>83</v>
      </c>
      <c r="I644" s="73">
        <v>82</v>
      </c>
      <c r="J644" s="98"/>
      <c r="K644" s="14"/>
      <c r="L644" s="14"/>
      <c r="M644" s="14"/>
    </row>
    <row r="645" spans="1:13" ht="60" x14ac:dyDescent="0.25">
      <c r="A645" s="117"/>
      <c r="B645" s="123"/>
      <c r="C645" s="117"/>
      <c r="D645" s="107" t="s">
        <v>795</v>
      </c>
      <c r="E645" s="107" t="s">
        <v>16</v>
      </c>
      <c r="F645" s="107" t="s">
        <v>6</v>
      </c>
      <c r="G645" s="110">
        <v>7606.9931654834809</v>
      </c>
      <c r="H645" s="110">
        <v>8130.1892400000006</v>
      </c>
      <c r="I645" s="80">
        <v>7673.3019999999997</v>
      </c>
      <c r="J645" s="98"/>
      <c r="K645" s="14"/>
      <c r="L645" s="14"/>
      <c r="M645" s="14"/>
    </row>
    <row r="646" spans="1:13" ht="75" x14ac:dyDescent="0.25">
      <c r="A646" s="116" t="s">
        <v>962</v>
      </c>
      <c r="B646" s="123"/>
      <c r="C646" s="116" t="s">
        <v>2153</v>
      </c>
      <c r="D646" s="107" t="s">
        <v>1801</v>
      </c>
      <c r="E646" s="107" t="s">
        <v>2264</v>
      </c>
      <c r="F646" s="107" t="s">
        <v>80</v>
      </c>
      <c r="G646" s="19">
        <v>15</v>
      </c>
      <c r="H646" s="19">
        <v>15</v>
      </c>
      <c r="I646" s="73">
        <v>17</v>
      </c>
      <c r="J646" s="98"/>
      <c r="K646" s="14"/>
      <c r="L646" s="14"/>
      <c r="M646" s="14"/>
    </row>
    <row r="647" spans="1:13" ht="60" x14ac:dyDescent="0.25">
      <c r="A647" s="117"/>
      <c r="B647" s="123"/>
      <c r="C647" s="117"/>
      <c r="D647" s="107" t="s">
        <v>795</v>
      </c>
      <c r="E647" s="107" t="s">
        <v>16</v>
      </c>
      <c r="F647" s="107" t="s">
        <v>6</v>
      </c>
      <c r="G647" s="110">
        <v>1374.7578024564627</v>
      </c>
      <c r="H647" s="110">
        <v>1469.31131</v>
      </c>
      <c r="I647" s="80">
        <v>1590.8065100000001</v>
      </c>
      <c r="J647" s="98"/>
      <c r="K647" s="14"/>
      <c r="L647" s="14"/>
      <c r="M647" s="14"/>
    </row>
    <row r="648" spans="1:13" ht="90" x14ac:dyDescent="0.25">
      <c r="A648" s="116" t="s">
        <v>963</v>
      </c>
      <c r="B648" s="123"/>
      <c r="C648" s="116" t="s">
        <v>2173</v>
      </c>
      <c r="D648" s="107" t="s">
        <v>1802</v>
      </c>
      <c r="E648" s="107" t="s">
        <v>2265</v>
      </c>
      <c r="F648" s="107" t="s">
        <v>54</v>
      </c>
      <c r="G648" s="110">
        <v>7560</v>
      </c>
      <c r="H648" s="110">
        <v>7560</v>
      </c>
      <c r="I648" s="80">
        <v>7560</v>
      </c>
      <c r="J648" s="98"/>
      <c r="K648" s="14"/>
      <c r="L648" s="14"/>
      <c r="M648" s="14"/>
    </row>
    <row r="649" spans="1:13" ht="60" x14ac:dyDescent="0.25">
      <c r="A649" s="117"/>
      <c r="B649" s="123"/>
      <c r="C649" s="117"/>
      <c r="D649" s="107" t="s">
        <v>795</v>
      </c>
      <c r="E649" s="107" t="s">
        <v>16</v>
      </c>
      <c r="F649" s="107" t="s">
        <v>6</v>
      </c>
      <c r="G649" s="110">
        <v>668.10592856566973</v>
      </c>
      <c r="H649" s="110">
        <v>714.05711999999994</v>
      </c>
      <c r="I649" s="80">
        <v>714.05711999999994</v>
      </c>
      <c r="J649" s="98"/>
      <c r="K649" s="14"/>
      <c r="L649" s="14"/>
      <c r="M649" s="14"/>
    </row>
    <row r="650" spans="1:13" ht="90" x14ac:dyDescent="0.25">
      <c r="A650" s="116" t="s">
        <v>964</v>
      </c>
      <c r="B650" s="123"/>
      <c r="C650" s="116" t="s">
        <v>2173</v>
      </c>
      <c r="D650" s="107" t="s">
        <v>1802</v>
      </c>
      <c r="E650" s="107" t="s">
        <v>2266</v>
      </c>
      <c r="F650" s="107" t="s">
        <v>54</v>
      </c>
      <c r="G650" s="110">
        <v>6120</v>
      </c>
      <c r="H650" s="110">
        <v>6120</v>
      </c>
      <c r="I650" s="80">
        <v>6120</v>
      </c>
      <c r="J650" s="98"/>
      <c r="K650" s="14"/>
      <c r="L650" s="14"/>
      <c r="M650" s="14"/>
    </row>
    <row r="651" spans="1:13" ht="60" x14ac:dyDescent="0.25">
      <c r="A651" s="117"/>
      <c r="B651" s="123"/>
      <c r="C651" s="117"/>
      <c r="D651" s="107" t="s">
        <v>794</v>
      </c>
      <c r="E651" s="107" t="s">
        <v>16</v>
      </c>
      <c r="F651" s="107" t="s">
        <v>6</v>
      </c>
      <c r="G651" s="110">
        <v>540.84765645792322</v>
      </c>
      <c r="H651" s="110">
        <v>578.04624000000001</v>
      </c>
      <c r="I651" s="80">
        <v>578.04624000000001</v>
      </c>
      <c r="J651" s="98"/>
      <c r="K651" s="14"/>
      <c r="L651" s="14"/>
      <c r="M651" s="14"/>
    </row>
    <row r="652" spans="1:13" ht="60" x14ac:dyDescent="0.25">
      <c r="A652" s="116" t="s">
        <v>965</v>
      </c>
      <c r="B652" s="123"/>
      <c r="C652" s="116" t="s">
        <v>125</v>
      </c>
      <c r="D652" s="107" t="s">
        <v>1803</v>
      </c>
      <c r="E652" s="107" t="s">
        <v>2267</v>
      </c>
      <c r="F652" s="107" t="s">
        <v>80</v>
      </c>
      <c r="G652" s="19">
        <v>96</v>
      </c>
      <c r="H652" s="19">
        <v>96</v>
      </c>
      <c r="I652" s="73">
        <v>96</v>
      </c>
      <c r="J652" s="98"/>
      <c r="K652" s="14"/>
      <c r="L652" s="14"/>
      <c r="M652" s="14"/>
    </row>
    <row r="653" spans="1:13" ht="60" x14ac:dyDescent="0.25">
      <c r="A653" s="117"/>
      <c r="B653" s="123"/>
      <c r="C653" s="117"/>
      <c r="D653" s="107" t="s">
        <v>795</v>
      </c>
      <c r="E653" s="107" t="s">
        <v>16</v>
      </c>
      <c r="F653" s="107" t="s">
        <v>6</v>
      </c>
      <c r="G653" s="110">
        <v>9792.7613694822376</v>
      </c>
      <c r="H653" s="110">
        <v>10466.290870000001</v>
      </c>
      <c r="I653" s="80">
        <v>10422.3181</v>
      </c>
      <c r="J653" s="98"/>
      <c r="K653" s="14"/>
      <c r="L653" s="14"/>
      <c r="M653" s="14"/>
    </row>
    <row r="654" spans="1:13" ht="60" x14ac:dyDescent="0.25">
      <c r="A654" s="116" t="s">
        <v>966</v>
      </c>
      <c r="B654" s="123"/>
      <c r="C654" s="116" t="s">
        <v>2268</v>
      </c>
      <c r="D654" s="107" t="s">
        <v>1803</v>
      </c>
      <c r="E654" s="107" t="s">
        <v>2267</v>
      </c>
      <c r="F654" s="107" t="s">
        <v>80</v>
      </c>
      <c r="G654" s="19">
        <v>284</v>
      </c>
      <c r="H654" s="19">
        <v>284</v>
      </c>
      <c r="I654" s="73">
        <v>284</v>
      </c>
      <c r="J654" s="98"/>
      <c r="K654" s="14"/>
      <c r="L654" s="14"/>
      <c r="M654" s="14"/>
    </row>
    <row r="655" spans="1:13" ht="60" x14ac:dyDescent="0.25">
      <c r="A655" s="117"/>
      <c r="B655" s="123"/>
      <c r="C655" s="117"/>
      <c r="D655" s="107" t="s">
        <v>801</v>
      </c>
      <c r="E655" s="107" t="s">
        <v>16</v>
      </c>
      <c r="F655" s="107" t="s">
        <v>6</v>
      </c>
      <c r="G655" s="110">
        <v>24639.463335483924</v>
      </c>
      <c r="H655" s="110">
        <v>26334.123789999998</v>
      </c>
      <c r="I655" s="80">
        <v>26279.403890000001</v>
      </c>
      <c r="J655" s="98"/>
      <c r="K655" s="14"/>
      <c r="L655" s="14"/>
      <c r="M655" s="14"/>
    </row>
    <row r="656" spans="1:13" ht="60" x14ac:dyDescent="0.25">
      <c r="A656" s="116" t="s">
        <v>967</v>
      </c>
      <c r="B656" s="123"/>
      <c r="C656" s="116" t="s">
        <v>125</v>
      </c>
      <c r="D656" s="107" t="s">
        <v>1804</v>
      </c>
      <c r="E656" s="107" t="s">
        <v>2269</v>
      </c>
      <c r="F656" s="107" t="s">
        <v>80</v>
      </c>
      <c r="G656" s="19">
        <v>1</v>
      </c>
      <c r="H656" s="19">
        <v>1</v>
      </c>
      <c r="I656" s="73">
        <v>1</v>
      </c>
      <c r="J656" s="98"/>
      <c r="K656" s="14"/>
      <c r="L656" s="14"/>
      <c r="M656" s="14"/>
    </row>
    <row r="657" spans="1:13" ht="60" x14ac:dyDescent="0.25">
      <c r="A657" s="117"/>
      <c r="B657" s="123"/>
      <c r="C657" s="117"/>
      <c r="D657" s="107" t="s">
        <v>795</v>
      </c>
      <c r="E657" s="107" t="s">
        <v>16</v>
      </c>
      <c r="F657" s="107" t="s">
        <v>6</v>
      </c>
      <c r="G657" s="110">
        <v>105.50094418215542</v>
      </c>
      <c r="H657" s="110">
        <v>112.75712</v>
      </c>
      <c r="I657" s="80">
        <v>112.57714</v>
      </c>
      <c r="J657" s="98"/>
      <c r="K657" s="14"/>
      <c r="L657" s="14"/>
      <c r="M657" s="14"/>
    </row>
    <row r="658" spans="1:13" ht="60" x14ac:dyDescent="0.25">
      <c r="A658" s="116" t="s">
        <v>968</v>
      </c>
      <c r="B658" s="123"/>
      <c r="C658" s="116" t="s">
        <v>125</v>
      </c>
      <c r="D658" s="107" t="s">
        <v>1804</v>
      </c>
      <c r="E658" s="107" t="s">
        <v>2269</v>
      </c>
      <c r="F658" s="107" t="s">
        <v>80</v>
      </c>
      <c r="G658" s="19">
        <v>1</v>
      </c>
      <c r="H658" s="19">
        <v>1</v>
      </c>
      <c r="I658" s="73">
        <v>1</v>
      </c>
      <c r="J658" s="98"/>
      <c r="K658" s="14"/>
      <c r="L658" s="14"/>
      <c r="M658" s="14"/>
    </row>
    <row r="659" spans="1:13" ht="60" x14ac:dyDescent="0.25">
      <c r="A659" s="117"/>
      <c r="B659" s="123"/>
      <c r="C659" s="117"/>
      <c r="D659" s="107" t="s">
        <v>801</v>
      </c>
      <c r="E659" s="107" t="s">
        <v>16</v>
      </c>
      <c r="F659" s="107" t="s">
        <v>68</v>
      </c>
      <c r="G659" s="110">
        <v>83.163645650178111</v>
      </c>
      <c r="H659" s="110">
        <v>88.883499999999998</v>
      </c>
      <c r="I659" s="80">
        <v>88.862529999999992</v>
      </c>
      <c r="J659" s="98"/>
      <c r="K659" s="14"/>
      <c r="L659" s="14"/>
      <c r="M659" s="14"/>
    </row>
    <row r="660" spans="1:13" ht="90" x14ac:dyDescent="0.25">
      <c r="A660" s="116" t="s">
        <v>969</v>
      </c>
      <c r="B660" s="123"/>
      <c r="C660" s="116" t="s">
        <v>2224</v>
      </c>
      <c r="D660" s="107" t="s">
        <v>1805</v>
      </c>
      <c r="E660" s="107" t="s">
        <v>2270</v>
      </c>
      <c r="F660" s="107" t="s">
        <v>80</v>
      </c>
      <c r="G660" s="19">
        <v>82</v>
      </c>
      <c r="H660" s="19">
        <v>82</v>
      </c>
      <c r="I660" s="73">
        <v>82</v>
      </c>
      <c r="J660" s="98"/>
      <c r="K660" s="14"/>
      <c r="L660" s="14"/>
      <c r="M660" s="14"/>
    </row>
    <row r="661" spans="1:13" ht="60" x14ac:dyDescent="0.25">
      <c r="A661" s="117"/>
      <c r="B661" s="123"/>
      <c r="C661" s="117"/>
      <c r="D661" s="107" t="s">
        <v>801</v>
      </c>
      <c r="E661" s="107" t="s">
        <v>16</v>
      </c>
      <c r="F661" s="107" t="s">
        <v>68</v>
      </c>
      <c r="G661" s="110">
        <v>6819.4187842544898</v>
      </c>
      <c r="H661" s="110">
        <v>7288.4468299999999</v>
      </c>
      <c r="I661" s="80">
        <v>7286.7278699999997</v>
      </c>
      <c r="J661" s="98"/>
      <c r="K661" s="14"/>
      <c r="L661" s="14"/>
      <c r="M661" s="14"/>
    </row>
    <row r="662" spans="1:13" ht="75" x14ac:dyDescent="0.25">
      <c r="A662" s="116" t="s">
        <v>970</v>
      </c>
      <c r="B662" s="123"/>
      <c r="C662" s="116" t="s">
        <v>125</v>
      </c>
      <c r="D662" s="107" t="s">
        <v>1806</v>
      </c>
      <c r="E662" s="107" t="s">
        <v>2271</v>
      </c>
      <c r="F662" s="107" t="s">
        <v>80</v>
      </c>
      <c r="G662" s="19">
        <v>78</v>
      </c>
      <c r="H662" s="19">
        <v>78</v>
      </c>
      <c r="I662" s="73">
        <v>78</v>
      </c>
      <c r="J662" s="98"/>
      <c r="K662" s="14"/>
      <c r="L662" s="14"/>
      <c r="M662" s="14"/>
    </row>
    <row r="663" spans="1:13" ht="60" x14ac:dyDescent="0.25">
      <c r="A663" s="117"/>
      <c r="B663" s="123"/>
      <c r="C663" s="117"/>
      <c r="D663" s="107" t="s">
        <v>802</v>
      </c>
      <c r="E663" s="107" t="s">
        <v>16</v>
      </c>
      <c r="F663" s="107" t="s">
        <v>6</v>
      </c>
      <c r="G663" s="110">
        <v>6486.7642110102552</v>
      </c>
      <c r="H663" s="110">
        <v>6932.91284</v>
      </c>
      <c r="I663" s="80">
        <v>6931.2777300000007</v>
      </c>
      <c r="J663" s="98"/>
      <c r="K663" s="14"/>
      <c r="L663" s="14"/>
      <c r="M663" s="14"/>
    </row>
    <row r="664" spans="1:13" ht="60" x14ac:dyDescent="0.25">
      <c r="A664" s="116" t="s">
        <v>971</v>
      </c>
      <c r="B664" s="123"/>
      <c r="C664" s="116" t="s">
        <v>125</v>
      </c>
      <c r="D664" s="107" t="s">
        <v>1807</v>
      </c>
      <c r="E664" s="107" t="s">
        <v>2272</v>
      </c>
      <c r="F664" s="107" t="s">
        <v>80</v>
      </c>
      <c r="G664" s="19">
        <v>66</v>
      </c>
      <c r="H664" s="19">
        <v>66</v>
      </c>
      <c r="I664" s="73">
        <v>65</v>
      </c>
      <c r="J664" s="98"/>
      <c r="K664" s="14"/>
      <c r="L664" s="14"/>
      <c r="M664" s="14"/>
    </row>
    <row r="665" spans="1:13" ht="60" x14ac:dyDescent="0.25">
      <c r="A665" s="117"/>
      <c r="B665" s="123"/>
      <c r="C665" s="117"/>
      <c r="D665" s="107" t="s">
        <v>795</v>
      </c>
      <c r="E665" s="107" t="s">
        <v>16</v>
      </c>
      <c r="F665" s="107" t="s">
        <v>6</v>
      </c>
      <c r="G665" s="110">
        <v>6471.2458944741002</v>
      </c>
      <c r="H665" s="110">
        <v>6916.3272000000006</v>
      </c>
      <c r="I665" s="80">
        <v>6761.2766200000005</v>
      </c>
      <c r="J665" s="98"/>
      <c r="K665" s="14"/>
      <c r="L665" s="14"/>
      <c r="M665" s="14"/>
    </row>
    <row r="666" spans="1:13" ht="60" x14ac:dyDescent="0.25">
      <c r="A666" s="116" t="s">
        <v>972</v>
      </c>
      <c r="B666" s="123"/>
      <c r="C666" s="116" t="s">
        <v>125</v>
      </c>
      <c r="D666" s="107" t="s">
        <v>1808</v>
      </c>
      <c r="E666" s="107" t="s">
        <v>2273</v>
      </c>
      <c r="F666" s="107" t="s">
        <v>80</v>
      </c>
      <c r="G666" s="19">
        <v>307</v>
      </c>
      <c r="H666" s="19">
        <v>307</v>
      </c>
      <c r="I666" s="73">
        <v>308</v>
      </c>
      <c r="J666" s="98"/>
      <c r="K666" s="14"/>
      <c r="L666" s="14"/>
      <c r="M666" s="14"/>
    </row>
    <row r="667" spans="1:13" ht="60" x14ac:dyDescent="0.25">
      <c r="A667" s="117"/>
      <c r="B667" s="123"/>
      <c r="C667" s="117"/>
      <c r="D667" s="107" t="s">
        <v>795</v>
      </c>
      <c r="E667" s="107" t="s">
        <v>16</v>
      </c>
      <c r="F667" s="107" t="s">
        <v>6</v>
      </c>
      <c r="G667" s="110">
        <v>30980.406725016022</v>
      </c>
      <c r="H667" s="110">
        <v>33111.186500000003</v>
      </c>
      <c r="I667" s="80">
        <v>33056.392009999996</v>
      </c>
      <c r="J667" s="98"/>
      <c r="K667" s="14"/>
      <c r="L667" s="14"/>
      <c r="M667" s="14"/>
    </row>
    <row r="668" spans="1:13" ht="60" x14ac:dyDescent="0.25">
      <c r="A668" s="116" t="s">
        <v>973</v>
      </c>
      <c r="B668" s="123"/>
      <c r="C668" s="116" t="s">
        <v>125</v>
      </c>
      <c r="D668" s="107" t="s">
        <v>1808</v>
      </c>
      <c r="E668" s="107" t="s">
        <v>2273</v>
      </c>
      <c r="F668" s="107" t="s">
        <v>80</v>
      </c>
      <c r="G668" s="19">
        <v>295</v>
      </c>
      <c r="H668" s="19">
        <v>295</v>
      </c>
      <c r="I668" s="73">
        <v>295</v>
      </c>
      <c r="J668" s="98"/>
      <c r="K668" s="14"/>
      <c r="L668" s="14"/>
      <c r="M668" s="14"/>
    </row>
    <row r="669" spans="1:13" ht="60" x14ac:dyDescent="0.25">
      <c r="A669" s="117"/>
      <c r="B669" s="123"/>
      <c r="C669" s="117"/>
      <c r="D669" s="107" t="s">
        <v>801</v>
      </c>
      <c r="E669" s="107" t="s">
        <v>16</v>
      </c>
      <c r="F669" s="107" t="s">
        <v>6</v>
      </c>
      <c r="G669" s="110">
        <v>24796.755815747769</v>
      </c>
      <c r="H669" s="110">
        <v>26502.234579999997</v>
      </c>
      <c r="I669" s="80">
        <v>26483.465600000003</v>
      </c>
      <c r="J669" s="98"/>
      <c r="K669" s="14"/>
      <c r="L669" s="14"/>
      <c r="M669" s="14"/>
    </row>
    <row r="670" spans="1:13" ht="60" x14ac:dyDescent="0.25">
      <c r="A670" s="116" t="s">
        <v>974</v>
      </c>
      <c r="B670" s="123"/>
      <c r="C670" s="116" t="s">
        <v>125</v>
      </c>
      <c r="D670" s="107" t="s">
        <v>1809</v>
      </c>
      <c r="E670" s="107" t="s">
        <v>2274</v>
      </c>
      <c r="F670" s="107" t="s">
        <v>80</v>
      </c>
      <c r="G670" s="19">
        <v>65</v>
      </c>
      <c r="H670" s="19">
        <v>65</v>
      </c>
      <c r="I670" s="73">
        <v>65</v>
      </c>
      <c r="J670" s="98"/>
      <c r="K670" s="14"/>
      <c r="L670" s="14"/>
      <c r="M670" s="14"/>
    </row>
    <row r="671" spans="1:13" ht="60" x14ac:dyDescent="0.25">
      <c r="A671" s="117"/>
      <c r="B671" s="123"/>
      <c r="C671" s="117"/>
      <c r="D671" s="107" t="s">
        <v>801</v>
      </c>
      <c r="E671" s="107" t="s">
        <v>16</v>
      </c>
      <c r="F671" s="107" t="s">
        <v>6</v>
      </c>
      <c r="G671" s="110">
        <v>6119.2309637468861</v>
      </c>
      <c r="H671" s="110">
        <v>6540.1012799999999</v>
      </c>
      <c r="I671" s="80">
        <v>6504.6546399999997</v>
      </c>
      <c r="J671" s="98"/>
      <c r="K671" s="14"/>
      <c r="L671" s="14"/>
      <c r="M671" s="14"/>
    </row>
    <row r="672" spans="1:13" ht="63.75" customHeight="1" x14ac:dyDescent="0.25">
      <c r="A672" s="116" t="s">
        <v>975</v>
      </c>
      <c r="B672" s="123"/>
      <c r="C672" s="116" t="s">
        <v>125</v>
      </c>
      <c r="D672" s="107" t="s">
        <v>1810</v>
      </c>
      <c r="E672" s="107" t="s">
        <v>2275</v>
      </c>
      <c r="F672" s="107" t="s">
        <v>80</v>
      </c>
      <c r="G672" s="19">
        <v>87</v>
      </c>
      <c r="H672" s="19">
        <v>87</v>
      </c>
      <c r="I672" s="73">
        <v>87</v>
      </c>
      <c r="J672" s="98"/>
      <c r="K672" s="14"/>
      <c r="L672" s="14"/>
      <c r="M672" s="14"/>
    </row>
    <row r="673" spans="1:13" ht="60" x14ac:dyDescent="0.25">
      <c r="A673" s="117"/>
      <c r="B673" s="123"/>
      <c r="C673" s="117"/>
      <c r="D673" s="107" t="s">
        <v>795</v>
      </c>
      <c r="E673" s="107" t="s">
        <v>16</v>
      </c>
      <c r="F673" s="107" t="s">
        <v>6</v>
      </c>
      <c r="G673" s="110">
        <v>9178.5823403335471</v>
      </c>
      <c r="H673" s="110">
        <v>9809.8696500000005</v>
      </c>
      <c r="I673" s="80">
        <v>9794.2114299999994</v>
      </c>
      <c r="J673" s="98"/>
      <c r="K673" s="14"/>
      <c r="L673" s="14"/>
      <c r="M673" s="14"/>
    </row>
    <row r="674" spans="1:13" ht="60.75" customHeight="1" x14ac:dyDescent="0.25">
      <c r="A674" s="116" t="s">
        <v>976</v>
      </c>
      <c r="B674" s="123"/>
      <c r="C674" s="116" t="s">
        <v>125</v>
      </c>
      <c r="D674" s="107" t="s">
        <v>1811</v>
      </c>
      <c r="E674" s="107" t="s">
        <v>2276</v>
      </c>
      <c r="F674" s="107" t="s">
        <v>80</v>
      </c>
      <c r="G674" s="19">
        <v>20</v>
      </c>
      <c r="H674" s="19">
        <v>20</v>
      </c>
      <c r="I674" s="73">
        <v>20</v>
      </c>
      <c r="J674" s="98"/>
      <c r="K674" s="14"/>
      <c r="L674" s="14"/>
      <c r="M674" s="14"/>
    </row>
    <row r="675" spans="1:13" ht="60" x14ac:dyDescent="0.25">
      <c r="A675" s="117"/>
      <c r="B675" s="123"/>
      <c r="C675" s="117"/>
      <c r="D675" s="107" t="s">
        <v>794</v>
      </c>
      <c r="E675" s="107" t="s">
        <v>16</v>
      </c>
      <c r="F675" s="107" t="s">
        <v>6</v>
      </c>
      <c r="G675" s="110">
        <v>2110.0189304254955</v>
      </c>
      <c r="H675" s="110">
        <v>2255.1424500000003</v>
      </c>
      <c r="I675" s="80">
        <v>2251.54286</v>
      </c>
      <c r="J675" s="98"/>
      <c r="K675" s="14"/>
      <c r="L675" s="14"/>
      <c r="M675" s="14"/>
    </row>
    <row r="676" spans="1:13" ht="60" x14ac:dyDescent="0.25">
      <c r="A676" s="116" t="s">
        <v>977</v>
      </c>
      <c r="B676" s="123"/>
      <c r="C676" s="116" t="s">
        <v>125</v>
      </c>
      <c r="D676" s="107" t="s">
        <v>1812</v>
      </c>
      <c r="E676" s="107" t="s">
        <v>2277</v>
      </c>
      <c r="F676" s="107" t="s">
        <v>80</v>
      </c>
      <c r="G676" s="19">
        <v>87</v>
      </c>
      <c r="H676" s="19">
        <v>87</v>
      </c>
      <c r="I676" s="73">
        <v>86</v>
      </c>
      <c r="J676" s="98"/>
      <c r="K676" s="14"/>
      <c r="L676" s="14"/>
      <c r="M676" s="14"/>
    </row>
    <row r="677" spans="1:13" ht="60" x14ac:dyDescent="0.25">
      <c r="A677" s="117"/>
      <c r="B677" s="123"/>
      <c r="C677" s="117"/>
      <c r="D677" s="107" t="s">
        <v>795</v>
      </c>
      <c r="E677" s="107" t="s">
        <v>16</v>
      </c>
      <c r="F677" s="107" t="s">
        <v>6</v>
      </c>
      <c r="G677" s="110">
        <v>9178.5823403335471</v>
      </c>
      <c r="H677" s="110">
        <v>9809.8696500000005</v>
      </c>
      <c r="I677" s="80">
        <v>9681.63429</v>
      </c>
      <c r="J677" s="98"/>
      <c r="K677" s="14"/>
      <c r="L677" s="14"/>
      <c r="M677" s="14"/>
    </row>
    <row r="678" spans="1:13" ht="60" x14ac:dyDescent="0.25">
      <c r="A678" s="116" t="s">
        <v>978</v>
      </c>
      <c r="B678" s="123"/>
      <c r="C678" s="116" t="s">
        <v>125</v>
      </c>
      <c r="D678" s="107" t="s">
        <v>1813</v>
      </c>
      <c r="E678" s="107" t="s">
        <v>2278</v>
      </c>
      <c r="F678" s="107" t="s">
        <v>80</v>
      </c>
      <c r="G678" s="19">
        <v>5</v>
      </c>
      <c r="H678" s="19">
        <v>5</v>
      </c>
      <c r="I678" s="73">
        <v>5</v>
      </c>
      <c r="J678" s="98"/>
      <c r="K678" s="14"/>
      <c r="L678" s="14"/>
      <c r="M678" s="14"/>
    </row>
    <row r="679" spans="1:13" ht="60" x14ac:dyDescent="0.25">
      <c r="A679" s="117"/>
      <c r="B679" s="123"/>
      <c r="C679" s="117"/>
      <c r="D679" s="107" t="s">
        <v>794</v>
      </c>
      <c r="E679" s="107" t="s">
        <v>16</v>
      </c>
      <c r="F679" s="107" t="s">
        <v>6</v>
      </c>
      <c r="G679" s="110">
        <v>527.50473026725456</v>
      </c>
      <c r="H679" s="110">
        <v>563.78561000000002</v>
      </c>
      <c r="I679" s="80">
        <v>562.88571000000002</v>
      </c>
      <c r="J679" s="98"/>
      <c r="K679" s="14"/>
      <c r="L679" s="14"/>
      <c r="M679" s="14"/>
    </row>
    <row r="680" spans="1:13" ht="60" x14ac:dyDescent="0.25">
      <c r="A680" s="116" t="s">
        <v>979</v>
      </c>
      <c r="B680" s="123"/>
      <c r="C680" s="116" t="s">
        <v>125</v>
      </c>
      <c r="D680" s="107" t="s">
        <v>1814</v>
      </c>
      <c r="E680" s="107" t="s">
        <v>2279</v>
      </c>
      <c r="F680" s="107" t="s">
        <v>80</v>
      </c>
      <c r="G680" s="19">
        <v>50</v>
      </c>
      <c r="H680" s="19">
        <v>50</v>
      </c>
      <c r="I680" s="73">
        <v>51</v>
      </c>
      <c r="J680" s="98"/>
      <c r="K680" s="14"/>
      <c r="L680" s="14"/>
      <c r="M680" s="14"/>
    </row>
    <row r="681" spans="1:13" ht="60" x14ac:dyDescent="0.25">
      <c r="A681" s="117"/>
      <c r="B681" s="123"/>
      <c r="C681" s="117"/>
      <c r="D681" s="107" t="s">
        <v>795</v>
      </c>
      <c r="E681" s="107" t="s">
        <v>16</v>
      </c>
      <c r="F681" s="107" t="s">
        <v>6</v>
      </c>
      <c r="G681" s="110">
        <v>5275.0473213855003</v>
      </c>
      <c r="H681" s="110">
        <v>5637.8561200000004</v>
      </c>
      <c r="I681" s="80">
        <v>5741.4342900000001</v>
      </c>
      <c r="J681" s="98"/>
      <c r="K681" s="14"/>
      <c r="L681" s="14"/>
      <c r="M681" s="14"/>
    </row>
    <row r="682" spans="1:13" ht="75" x14ac:dyDescent="0.25">
      <c r="A682" s="116" t="s">
        <v>980</v>
      </c>
      <c r="B682" s="123"/>
      <c r="C682" s="116" t="s">
        <v>125</v>
      </c>
      <c r="D682" s="107" t="s">
        <v>1815</v>
      </c>
      <c r="E682" s="107" t="s">
        <v>2280</v>
      </c>
      <c r="F682" s="107" t="s">
        <v>80</v>
      </c>
      <c r="G682" s="19">
        <v>61</v>
      </c>
      <c r="H682" s="19">
        <v>61</v>
      </c>
      <c r="I682" s="73">
        <v>64</v>
      </c>
      <c r="J682" s="98"/>
      <c r="K682" s="14"/>
      <c r="L682" s="14"/>
      <c r="M682" s="14"/>
    </row>
    <row r="683" spans="1:13" ht="60" x14ac:dyDescent="0.25">
      <c r="A683" s="117"/>
      <c r="B683" s="123"/>
      <c r="C683" s="117"/>
      <c r="D683" s="107" t="s">
        <v>795</v>
      </c>
      <c r="E683" s="107" t="s">
        <v>16</v>
      </c>
      <c r="F683" s="107" t="s">
        <v>6</v>
      </c>
      <c r="G683" s="110">
        <v>6435.5577261021645</v>
      </c>
      <c r="H683" s="110">
        <v>6878.1844600000004</v>
      </c>
      <c r="I683" s="80">
        <v>7204.9371500000007</v>
      </c>
      <c r="J683" s="98"/>
      <c r="K683" s="14"/>
      <c r="L683" s="14"/>
      <c r="M683" s="14"/>
    </row>
    <row r="684" spans="1:13" ht="60" x14ac:dyDescent="0.25">
      <c r="A684" s="116" t="s">
        <v>981</v>
      </c>
      <c r="B684" s="123"/>
      <c r="C684" s="116" t="s">
        <v>125</v>
      </c>
      <c r="D684" s="107" t="s">
        <v>1816</v>
      </c>
      <c r="E684" s="107" t="s">
        <v>2281</v>
      </c>
      <c r="F684" s="107" t="s">
        <v>80</v>
      </c>
      <c r="G684" s="19">
        <v>71</v>
      </c>
      <c r="H684" s="19">
        <v>71</v>
      </c>
      <c r="I684" s="73">
        <v>71</v>
      </c>
      <c r="J684" s="98"/>
      <c r="K684" s="14"/>
      <c r="L684" s="14"/>
      <c r="M684" s="14"/>
    </row>
    <row r="685" spans="1:13" ht="60" x14ac:dyDescent="0.25">
      <c r="A685" s="117"/>
      <c r="B685" s="123"/>
      <c r="C685" s="117"/>
      <c r="D685" s="107" t="s">
        <v>795</v>
      </c>
      <c r="E685" s="107" t="s">
        <v>16</v>
      </c>
      <c r="F685" s="107" t="s">
        <v>6</v>
      </c>
      <c r="G685" s="110">
        <v>7490.5671959931506</v>
      </c>
      <c r="H685" s="110">
        <v>8005.75569</v>
      </c>
      <c r="I685" s="80">
        <v>7992.9771500000006</v>
      </c>
      <c r="J685" s="98"/>
      <c r="K685" s="14"/>
      <c r="L685" s="14"/>
      <c r="M685" s="14"/>
    </row>
    <row r="686" spans="1:13" ht="60" x14ac:dyDescent="0.25">
      <c r="A686" s="116" t="s">
        <v>982</v>
      </c>
      <c r="B686" s="123"/>
      <c r="C686" s="116" t="s">
        <v>125</v>
      </c>
      <c r="D686" s="107" t="s">
        <v>1816</v>
      </c>
      <c r="E686" s="107" t="s">
        <v>2281</v>
      </c>
      <c r="F686" s="107" t="s">
        <v>80</v>
      </c>
      <c r="G686" s="19">
        <v>126</v>
      </c>
      <c r="H686" s="19">
        <v>126</v>
      </c>
      <c r="I686" s="73">
        <v>125</v>
      </c>
      <c r="J686" s="98"/>
      <c r="K686" s="14"/>
      <c r="L686" s="14"/>
      <c r="M686" s="14"/>
    </row>
    <row r="687" spans="1:13" ht="60" x14ac:dyDescent="0.25">
      <c r="A687" s="117"/>
      <c r="B687" s="123"/>
      <c r="C687" s="117"/>
      <c r="D687" s="107" t="s">
        <v>801</v>
      </c>
      <c r="E687" s="107" t="s">
        <v>16</v>
      </c>
      <c r="F687" s="107" t="s">
        <v>6</v>
      </c>
      <c r="G687" s="110">
        <v>11499.607622163059</v>
      </c>
      <c r="H687" s="110">
        <v>12290.53111</v>
      </c>
      <c r="I687" s="80">
        <v>12139.051750000001</v>
      </c>
      <c r="J687" s="98"/>
      <c r="K687" s="14"/>
      <c r="L687" s="14"/>
      <c r="M687" s="14"/>
    </row>
    <row r="688" spans="1:13" ht="90" x14ac:dyDescent="0.25">
      <c r="A688" s="116" t="s">
        <v>983</v>
      </c>
      <c r="B688" s="123"/>
      <c r="C688" s="116" t="s">
        <v>125</v>
      </c>
      <c r="D688" s="107" t="s">
        <v>1817</v>
      </c>
      <c r="E688" s="107" t="s">
        <v>2282</v>
      </c>
      <c r="F688" s="107" t="s">
        <v>80</v>
      </c>
      <c r="G688" s="19">
        <v>68</v>
      </c>
      <c r="H688" s="19">
        <v>68</v>
      </c>
      <c r="I688" s="73">
        <v>68</v>
      </c>
      <c r="J688" s="98"/>
      <c r="K688" s="14"/>
      <c r="L688" s="14"/>
      <c r="M688" s="14"/>
    </row>
    <row r="689" spans="1:13" ht="60" x14ac:dyDescent="0.25">
      <c r="A689" s="117"/>
      <c r="B689" s="123"/>
      <c r="C689" s="117"/>
      <c r="D689" s="107" t="s">
        <v>795</v>
      </c>
      <c r="E689" s="107" t="s">
        <v>16</v>
      </c>
      <c r="F689" s="107" t="s">
        <v>6</v>
      </c>
      <c r="G689" s="110">
        <v>7174.0643540902074</v>
      </c>
      <c r="H689" s="110">
        <v>7667.4843200000005</v>
      </c>
      <c r="I689" s="80">
        <v>7655.2457199999999</v>
      </c>
      <c r="J689" s="98"/>
      <c r="K689" s="14"/>
      <c r="L689" s="14"/>
      <c r="M689" s="14"/>
    </row>
    <row r="690" spans="1:13" ht="60" x14ac:dyDescent="0.25">
      <c r="A690" s="116" t="s">
        <v>984</v>
      </c>
      <c r="B690" s="123"/>
      <c r="C690" s="116" t="s">
        <v>125</v>
      </c>
      <c r="D690" s="107" t="s">
        <v>1818</v>
      </c>
      <c r="E690" s="107" t="s">
        <v>2283</v>
      </c>
      <c r="F690" s="107" t="s">
        <v>80</v>
      </c>
      <c r="G690" s="19">
        <v>68</v>
      </c>
      <c r="H690" s="19">
        <v>68</v>
      </c>
      <c r="I690" s="73">
        <v>67</v>
      </c>
      <c r="J690" s="98"/>
      <c r="K690" s="14"/>
      <c r="L690" s="14"/>
      <c r="M690" s="14"/>
    </row>
    <row r="691" spans="1:13" ht="60" x14ac:dyDescent="0.25">
      <c r="A691" s="117"/>
      <c r="B691" s="123"/>
      <c r="C691" s="117"/>
      <c r="D691" s="107" t="s">
        <v>795</v>
      </c>
      <c r="E691" s="107" t="s">
        <v>16</v>
      </c>
      <c r="F691" s="107" t="s">
        <v>6</v>
      </c>
      <c r="G691" s="110">
        <v>7174.0643540902074</v>
      </c>
      <c r="H691" s="110">
        <v>7667.4843200000005</v>
      </c>
      <c r="I691" s="80">
        <v>7542.6685800000005</v>
      </c>
      <c r="J691" s="98"/>
      <c r="K691" s="14"/>
      <c r="L691" s="14"/>
      <c r="M691" s="14"/>
    </row>
    <row r="692" spans="1:13" ht="60" x14ac:dyDescent="0.25">
      <c r="A692" s="116" t="s">
        <v>985</v>
      </c>
      <c r="B692" s="123"/>
      <c r="C692" s="116" t="s">
        <v>125</v>
      </c>
      <c r="D692" s="107" t="s">
        <v>1819</v>
      </c>
      <c r="E692" s="107" t="s">
        <v>2284</v>
      </c>
      <c r="F692" s="107" t="s">
        <v>80</v>
      </c>
      <c r="G692" s="19">
        <v>52</v>
      </c>
      <c r="H692" s="19">
        <v>52</v>
      </c>
      <c r="I692" s="73">
        <v>52</v>
      </c>
      <c r="J692" s="98"/>
      <c r="K692" s="14"/>
      <c r="L692" s="14"/>
      <c r="M692" s="14"/>
    </row>
    <row r="693" spans="1:13" ht="60" x14ac:dyDescent="0.25">
      <c r="A693" s="117"/>
      <c r="B693" s="123"/>
      <c r="C693" s="117"/>
      <c r="D693" s="107" t="s">
        <v>795</v>
      </c>
      <c r="E693" s="107" t="s">
        <v>16</v>
      </c>
      <c r="F693" s="107" t="s">
        <v>6</v>
      </c>
      <c r="G693" s="110">
        <v>5486.0492097498109</v>
      </c>
      <c r="H693" s="110">
        <v>5863.3703599999999</v>
      </c>
      <c r="I693" s="80">
        <v>5854.0114299999996</v>
      </c>
      <c r="J693" s="98"/>
      <c r="K693" s="14"/>
      <c r="L693" s="14"/>
      <c r="M693" s="14"/>
    </row>
    <row r="694" spans="1:13" ht="75" x14ac:dyDescent="0.25">
      <c r="A694" s="116" t="s">
        <v>986</v>
      </c>
      <c r="B694" s="123"/>
      <c r="C694" s="116" t="s">
        <v>125</v>
      </c>
      <c r="D694" s="107" t="s">
        <v>1820</v>
      </c>
      <c r="E694" s="107" t="s">
        <v>2285</v>
      </c>
      <c r="F694" s="107" t="s">
        <v>80</v>
      </c>
      <c r="G694" s="19">
        <v>87</v>
      </c>
      <c r="H694" s="19">
        <v>87</v>
      </c>
      <c r="I694" s="73">
        <v>88</v>
      </c>
      <c r="J694" s="98"/>
      <c r="K694" s="14"/>
      <c r="L694" s="14"/>
      <c r="M694" s="14"/>
    </row>
    <row r="695" spans="1:13" ht="60" x14ac:dyDescent="0.25">
      <c r="A695" s="117"/>
      <c r="B695" s="123"/>
      <c r="C695" s="117"/>
      <c r="D695" s="107" t="s">
        <v>795</v>
      </c>
      <c r="E695" s="107" t="s">
        <v>16</v>
      </c>
      <c r="F695" s="107" t="s">
        <v>6</v>
      </c>
      <c r="G695" s="110">
        <v>7242.8038858069849</v>
      </c>
      <c r="H695" s="110">
        <v>7740.9516399999993</v>
      </c>
      <c r="I695" s="80">
        <v>7791.1150700000007</v>
      </c>
      <c r="J695" s="98"/>
      <c r="K695" s="14"/>
      <c r="L695" s="14"/>
      <c r="M695" s="14"/>
    </row>
    <row r="696" spans="1:13" ht="75" x14ac:dyDescent="0.25">
      <c r="A696" s="116" t="s">
        <v>987</v>
      </c>
      <c r="B696" s="123"/>
      <c r="C696" s="116" t="s">
        <v>125</v>
      </c>
      <c r="D696" s="107" t="s">
        <v>1821</v>
      </c>
      <c r="E696" s="107" t="s">
        <v>2286</v>
      </c>
      <c r="F696" s="107" t="s">
        <v>80</v>
      </c>
      <c r="G696" s="19">
        <v>65</v>
      </c>
      <c r="H696" s="19">
        <v>65</v>
      </c>
      <c r="I696" s="73">
        <v>65</v>
      </c>
      <c r="J696" s="98"/>
      <c r="K696" s="14"/>
      <c r="L696" s="14"/>
      <c r="M696" s="14"/>
    </row>
    <row r="697" spans="1:13" ht="60" x14ac:dyDescent="0.25">
      <c r="A697" s="117"/>
      <c r="B697" s="123"/>
      <c r="C697" s="117"/>
      <c r="D697" s="107" t="s">
        <v>795</v>
      </c>
      <c r="E697" s="107" t="s">
        <v>16</v>
      </c>
      <c r="F697" s="107" t="s">
        <v>6</v>
      </c>
      <c r="G697" s="110">
        <v>6635.0582488651362</v>
      </c>
      <c r="H697" s="110">
        <v>7091.4062900000008</v>
      </c>
      <c r="I697" s="80">
        <v>7077.0968400000002</v>
      </c>
      <c r="J697" s="98"/>
      <c r="K697" s="14"/>
      <c r="L697" s="14"/>
      <c r="M697" s="14"/>
    </row>
    <row r="698" spans="1:13" ht="105" x14ac:dyDescent="0.25">
      <c r="A698" s="116" t="s">
        <v>988</v>
      </c>
      <c r="B698" s="123"/>
      <c r="C698" s="116" t="s">
        <v>2173</v>
      </c>
      <c r="D698" s="107" t="s">
        <v>1802</v>
      </c>
      <c r="E698" s="107" t="s">
        <v>2287</v>
      </c>
      <c r="F698" s="107" t="s">
        <v>54</v>
      </c>
      <c r="G698" s="110">
        <v>4200</v>
      </c>
      <c r="H698" s="110">
        <v>4200</v>
      </c>
      <c r="I698" s="80">
        <v>4200</v>
      </c>
      <c r="J698" s="98"/>
      <c r="K698" s="14"/>
      <c r="L698" s="14"/>
      <c r="M698" s="14"/>
    </row>
    <row r="699" spans="1:13" ht="60" x14ac:dyDescent="0.25">
      <c r="A699" s="117"/>
      <c r="B699" s="123"/>
      <c r="C699" s="117"/>
      <c r="D699" s="107" t="s">
        <v>795</v>
      </c>
      <c r="E699" s="107" t="s">
        <v>16</v>
      </c>
      <c r="F699" s="107" t="s">
        <v>6</v>
      </c>
      <c r="G699" s="110">
        <v>371.16996031426106</v>
      </c>
      <c r="H699" s="110">
        <v>396.69840000000005</v>
      </c>
      <c r="I699" s="80">
        <v>396.69840000000005</v>
      </c>
      <c r="J699" s="98"/>
      <c r="K699" s="14"/>
      <c r="L699" s="14"/>
      <c r="M699" s="14"/>
    </row>
    <row r="700" spans="1:13" ht="90" x14ac:dyDescent="0.25">
      <c r="A700" s="116" t="s">
        <v>989</v>
      </c>
      <c r="B700" s="123"/>
      <c r="C700" s="116" t="s">
        <v>2173</v>
      </c>
      <c r="D700" s="107" t="s">
        <v>1802</v>
      </c>
      <c r="E700" s="107" t="s">
        <v>2288</v>
      </c>
      <c r="F700" s="107" t="s">
        <v>54</v>
      </c>
      <c r="G700" s="110">
        <v>5550</v>
      </c>
      <c r="H700" s="110">
        <v>5550</v>
      </c>
      <c r="I700" s="80">
        <v>5550</v>
      </c>
      <c r="J700" s="98"/>
      <c r="K700" s="14"/>
      <c r="L700" s="14"/>
      <c r="M700" s="14"/>
    </row>
    <row r="701" spans="1:13" ht="60" x14ac:dyDescent="0.25">
      <c r="A701" s="117"/>
      <c r="B701" s="123"/>
      <c r="C701" s="117"/>
      <c r="D701" s="107" t="s">
        <v>795</v>
      </c>
      <c r="E701" s="107" t="s">
        <v>16</v>
      </c>
      <c r="F701" s="107" t="s">
        <v>6</v>
      </c>
      <c r="G701" s="110">
        <v>490.47459041527344</v>
      </c>
      <c r="H701" s="110">
        <v>524.20859999999993</v>
      </c>
      <c r="I701" s="80">
        <v>524.20859999999993</v>
      </c>
      <c r="J701" s="98"/>
      <c r="K701" s="14"/>
      <c r="L701" s="14"/>
      <c r="M701" s="14"/>
    </row>
    <row r="702" spans="1:13" ht="90" x14ac:dyDescent="0.25">
      <c r="A702" s="116" t="s">
        <v>990</v>
      </c>
      <c r="B702" s="123"/>
      <c r="C702" s="116" t="s">
        <v>2173</v>
      </c>
      <c r="D702" s="107" t="s">
        <v>1822</v>
      </c>
      <c r="E702" s="107" t="s">
        <v>2289</v>
      </c>
      <c r="F702" s="107" t="s">
        <v>54</v>
      </c>
      <c r="G702" s="110">
        <v>1296</v>
      </c>
      <c r="H702" s="110">
        <v>1296</v>
      </c>
      <c r="I702" s="80">
        <v>1296</v>
      </c>
      <c r="J702" s="98"/>
      <c r="K702" s="14"/>
      <c r="L702" s="14"/>
      <c r="M702" s="14"/>
    </row>
    <row r="703" spans="1:13" ht="60" x14ac:dyDescent="0.25">
      <c r="A703" s="117"/>
      <c r="B703" s="123"/>
      <c r="C703" s="117"/>
      <c r="D703" s="107" t="s">
        <v>795</v>
      </c>
      <c r="E703" s="107" t="s">
        <v>16</v>
      </c>
      <c r="F703" s="107" t="s">
        <v>6</v>
      </c>
      <c r="G703" s="110">
        <v>114.53244302567649</v>
      </c>
      <c r="H703" s="110">
        <v>122.40978999999999</v>
      </c>
      <c r="I703" s="80">
        <v>122.40978999999999</v>
      </c>
      <c r="J703" s="98"/>
      <c r="K703" s="14"/>
      <c r="L703" s="14"/>
      <c r="M703" s="14"/>
    </row>
    <row r="704" spans="1:13" ht="60" x14ac:dyDescent="0.25">
      <c r="A704" s="116" t="s">
        <v>991</v>
      </c>
      <c r="B704" s="123"/>
      <c r="C704" s="116" t="s">
        <v>125</v>
      </c>
      <c r="D704" s="107" t="s">
        <v>1823</v>
      </c>
      <c r="E704" s="107" t="s">
        <v>2290</v>
      </c>
      <c r="F704" s="107" t="s">
        <v>80</v>
      </c>
      <c r="G704" s="19">
        <v>99</v>
      </c>
      <c r="H704" s="19">
        <v>99</v>
      </c>
      <c r="I704" s="73">
        <v>99</v>
      </c>
      <c r="J704" s="98"/>
      <c r="K704" s="14"/>
      <c r="L704" s="14"/>
      <c r="M704" s="14"/>
    </row>
    <row r="705" spans="1:13" ht="60" x14ac:dyDescent="0.25">
      <c r="A705" s="117"/>
      <c r="B705" s="123"/>
      <c r="C705" s="117"/>
      <c r="D705" s="107" t="s">
        <v>795</v>
      </c>
      <c r="E705" s="107" t="s">
        <v>16</v>
      </c>
      <c r="F705" s="107" t="s">
        <v>6</v>
      </c>
      <c r="G705" s="110">
        <v>8241.8113205905447</v>
      </c>
      <c r="H705" s="110">
        <v>8808.6691099999989</v>
      </c>
      <c r="I705" s="80">
        <v>8765.0044499999985</v>
      </c>
      <c r="J705" s="98"/>
      <c r="K705" s="14"/>
      <c r="L705" s="14"/>
      <c r="M705" s="14"/>
    </row>
    <row r="706" spans="1:13" ht="75" x14ac:dyDescent="0.25">
      <c r="A706" s="116" t="s">
        <v>992</v>
      </c>
      <c r="B706" s="123"/>
      <c r="C706" s="116" t="s">
        <v>125</v>
      </c>
      <c r="D706" s="107" t="s">
        <v>1824</v>
      </c>
      <c r="E706" s="107" t="s">
        <v>2291</v>
      </c>
      <c r="F706" s="107" t="s">
        <v>80</v>
      </c>
      <c r="G706" s="19">
        <v>171</v>
      </c>
      <c r="H706" s="19">
        <v>171</v>
      </c>
      <c r="I706" s="73">
        <v>169</v>
      </c>
      <c r="J706" s="98"/>
      <c r="K706" s="14"/>
      <c r="L706" s="14"/>
      <c r="M706" s="14"/>
    </row>
    <row r="707" spans="1:13" ht="60" x14ac:dyDescent="0.25">
      <c r="A707" s="117"/>
      <c r="B707" s="123"/>
      <c r="C707" s="117"/>
      <c r="D707" s="107" t="s">
        <v>795</v>
      </c>
      <c r="E707" s="107" t="s">
        <v>16</v>
      </c>
      <c r="F707" s="107" t="s">
        <v>6</v>
      </c>
      <c r="G707" s="110">
        <v>17387.275910578977</v>
      </c>
      <c r="H707" s="110">
        <v>11166.813909999972</v>
      </c>
      <c r="I707" s="80">
        <v>10173.13212000002</v>
      </c>
      <c r="J707" s="98"/>
      <c r="K707" s="14"/>
      <c r="L707" s="14"/>
      <c r="M707" s="14"/>
    </row>
    <row r="708" spans="1:13" ht="75" x14ac:dyDescent="0.25">
      <c r="A708" s="116" t="s">
        <v>993</v>
      </c>
      <c r="B708" s="123"/>
      <c r="C708" s="116" t="s">
        <v>125</v>
      </c>
      <c r="D708" s="107" t="s">
        <v>1825</v>
      </c>
      <c r="E708" s="107" t="s">
        <v>2292</v>
      </c>
      <c r="F708" s="107" t="s">
        <v>80</v>
      </c>
      <c r="G708" s="19">
        <v>16</v>
      </c>
      <c r="H708" s="19">
        <v>16</v>
      </c>
      <c r="I708" s="73">
        <v>15</v>
      </c>
      <c r="J708" s="98"/>
      <c r="K708" s="14"/>
      <c r="L708" s="14"/>
      <c r="M708" s="14"/>
    </row>
    <row r="709" spans="1:13" ht="60" x14ac:dyDescent="0.25">
      <c r="A709" s="117"/>
      <c r="B709" s="123"/>
      <c r="C709" s="117"/>
      <c r="D709" s="107" t="s">
        <v>223</v>
      </c>
      <c r="E709" s="107" t="s">
        <v>16</v>
      </c>
      <c r="F709" s="107" t="s">
        <v>6</v>
      </c>
      <c r="G709" s="110">
        <v>1332.0099099259228</v>
      </c>
      <c r="H709" s="110">
        <v>1423.62329</v>
      </c>
      <c r="I709" s="80">
        <v>1328.03098</v>
      </c>
      <c r="J709" s="98"/>
      <c r="K709" s="14"/>
      <c r="L709" s="14"/>
      <c r="M709" s="14"/>
    </row>
    <row r="710" spans="1:13" ht="75" x14ac:dyDescent="0.25">
      <c r="A710" s="116" t="s">
        <v>994</v>
      </c>
      <c r="B710" s="123"/>
      <c r="C710" s="116" t="s">
        <v>125</v>
      </c>
      <c r="D710" s="107" t="s">
        <v>1826</v>
      </c>
      <c r="E710" s="107" t="s">
        <v>2293</v>
      </c>
      <c r="F710" s="107" t="s">
        <v>80</v>
      </c>
      <c r="G710" s="19">
        <v>95</v>
      </c>
      <c r="H710" s="19">
        <v>95</v>
      </c>
      <c r="I710" s="73">
        <v>95</v>
      </c>
      <c r="J710" s="98"/>
      <c r="K710" s="14"/>
      <c r="L710" s="14"/>
      <c r="M710" s="14"/>
    </row>
    <row r="711" spans="1:13" ht="60" x14ac:dyDescent="0.25">
      <c r="A711" s="117"/>
      <c r="B711" s="123"/>
      <c r="C711" s="117"/>
      <c r="D711" s="107" t="s">
        <v>795</v>
      </c>
      <c r="E711" s="107" t="s">
        <v>16</v>
      </c>
      <c r="F711" s="107" t="s">
        <v>6</v>
      </c>
      <c r="G711" s="110">
        <v>7908.8088360917072</v>
      </c>
      <c r="H711" s="110">
        <v>8452.7632799999992</v>
      </c>
      <c r="I711" s="80">
        <v>8410.8628599999993</v>
      </c>
      <c r="J711" s="98"/>
      <c r="K711" s="14"/>
      <c r="L711" s="14"/>
      <c r="M711" s="14"/>
    </row>
    <row r="712" spans="1:13" ht="95.25" customHeight="1" x14ac:dyDescent="0.25">
      <c r="A712" s="116" t="s">
        <v>995</v>
      </c>
      <c r="B712" s="123"/>
      <c r="C712" s="116" t="s">
        <v>125</v>
      </c>
      <c r="D712" s="107" t="s">
        <v>1827</v>
      </c>
      <c r="E712" s="107" t="s">
        <v>2294</v>
      </c>
      <c r="F712" s="107" t="s">
        <v>80</v>
      </c>
      <c r="G712" s="19">
        <v>69</v>
      </c>
      <c r="H712" s="19">
        <v>69</v>
      </c>
      <c r="I712" s="73">
        <v>70</v>
      </c>
      <c r="J712" s="98"/>
      <c r="K712" s="14"/>
      <c r="L712" s="14"/>
      <c r="M712" s="14"/>
    </row>
    <row r="713" spans="1:13" ht="60" x14ac:dyDescent="0.25">
      <c r="A713" s="117"/>
      <c r="B713" s="123"/>
      <c r="C713" s="117"/>
      <c r="D713" s="107" t="s">
        <v>795</v>
      </c>
      <c r="E713" s="107" t="s">
        <v>16</v>
      </c>
      <c r="F713" s="107" t="s">
        <v>6</v>
      </c>
      <c r="G713" s="110">
        <v>5744.2927383098822</v>
      </c>
      <c r="H713" s="110">
        <v>6139.3754400000007</v>
      </c>
      <c r="I713" s="80">
        <v>6197.4778900000001</v>
      </c>
      <c r="J713" s="98"/>
      <c r="K713" s="14"/>
      <c r="L713" s="14"/>
      <c r="M713" s="14"/>
    </row>
    <row r="714" spans="1:13" ht="90" x14ac:dyDescent="0.25">
      <c r="A714" s="116" t="s">
        <v>996</v>
      </c>
      <c r="B714" s="123"/>
      <c r="C714" s="116" t="s">
        <v>125</v>
      </c>
      <c r="D714" s="107" t="s">
        <v>1828</v>
      </c>
      <c r="E714" s="107" t="s">
        <v>2295</v>
      </c>
      <c r="F714" s="107" t="s">
        <v>80</v>
      </c>
      <c r="G714" s="19">
        <v>75</v>
      </c>
      <c r="H714" s="19">
        <v>75</v>
      </c>
      <c r="I714" s="73">
        <v>75</v>
      </c>
      <c r="J714" s="98"/>
      <c r="K714" s="14"/>
      <c r="L714" s="14"/>
      <c r="M714" s="14"/>
    </row>
    <row r="715" spans="1:13" ht="60" x14ac:dyDescent="0.25">
      <c r="A715" s="117"/>
      <c r="B715" s="123"/>
      <c r="C715" s="117"/>
      <c r="D715" s="107" t="s">
        <v>795</v>
      </c>
      <c r="E715" s="107" t="s">
        <v>16</v>
      </c>
      <c r="F715" s="107" t="s">
        <v>6</v>
      </c>
      <c r="G715" s="110">
        <v>6243.7964510234233</v>
      </c>
      <c r="H715" s="110">
        <v>6673.2341699999997</v>
      </c>
      <c r="I715" s="80">
        <v>6640.1548899999998</v>
      </c>
      <c r="J715" s="98"/>
      <c r="K715" s="14"/>
      <c r="L715" s="14"/>
      <c r="M715" s="14"/>
    </row>
    <row r="716" spans="1:13" ht="75" x14ac:dyDescent="0.25">
      <c r="A716" s="116" t="s">
        <v>997</v>
      </c>
      <c r="B716" s="123"/>
      <c r="C716" s="116" t="s">
        <v>125</v>
      </c>
      <c r="D716" s="107" t="s">
        <v>1829</v>
      </c>
      <c r="E716" s="107" t="s">
        <v>2296</v>
      </c>
      <c r="F716" s="107" t="s">
        <v>80</v>
      </c>
      <c r="G716" s="19">
        <v>52</v>
      </c>
      <c r="H716" s="19">
        <v>52</v>
      </c>
      <c r="I716" s="73">
        <v>52</v>
      </c>
      <c r="J716" s="98"/>
      <c r="K716" s="14"/>
      <c r="L716" s="14"/>
      <c r="M716" s="14"/>
    </row>
    <row r="717" spans="1:13" ht="60" x14ac:dyDescent="0.25">
      <c r="A717" s="117"/>
      <c r="B717" s="123"/>
      <c r="C717" s="117"/>
      <c r="D717" s="107" t="s">
        <v>795</v>
      </c>
      <c r="E717" s="107" t="s">
        <v>16</v>
      </c>
      <c r="F717" s="107" t="s">
        <v>6</v>
      </c>
      <c r="G717" s="110">
        <v>4329.0322049201304</v>
      </c>
      <c r="H717" s="110">
        <v>4626.7756900000004</v>
      </c>
      <c r="I717" s="80">
        <v>4603.8407200000001</v>
      </c>
      <c r="J717" s="98"/>
      <c r="K717" s="14"/>
      <c r="L717" s="14"/>
      <c r="M717" s="14"/>
    </row>
    <row r="718" spans="1:13" ht="77.25" customHeight="1" x14ac:dyDescent="0.25">
      <c r="A718" s="116" t="s">
        <v>998</v>
      </c>
      <c r="B718" s="123"/>
      <c r="C718" s="116" t="s">
        <v>125</v>
      </c>
      <c r="D718" s="107" t="s">
        <v>1830</v>
      </c>
      <c r="E718" s="107" t="s">
        <v>2297</v>
      </c>
      <c r="F718" s="107" t="s">
        <v>80</v>
      </c>
      <c r="G718" s="19">
        <v>15</v>
      </c>
      <c r="H718" s="19">
        <v>15</v>
      </c>
      <c r="I718" s="73">
        <v>15</v>
      </c>
      <c r="J718" s="98"/>
      <c r="K718" s="14"/>
      <c r="L718" s="14"/>
      <c r="M718" s="14"/>
    </row>
    <row r="719" spans="1:13" ht="60" x14ac:dyDescent="0.25">
      <c r="A719" s="117"/>
      <c r="B719" s="123"/>
      <c r="C719" s="117"/>
      <c r="D719" s="107" t="s">
        <v>795</v>
      </c>
      <c r="E719" s="107" t="s">
        <v>16</v>
      </c>
      <c r="F719" s="107" t="s">
        <v>6</v>
      </c>
      <c r="G719" s="110">
        <v>1248.759286462094</v>
      </c>
      <c r="H719" s="110">
        <v>1334.6468300000001</v>
      </c>
      <c r="I719" s="80">
        <v>1328.03098</v>
      </c>
      <c r="J719" s="98"/>
      <c r="K719" s="14"/>
      <c r="L719" s="14"/>
      <c r="M719" s="14"/>
    </row>
    <row r="720" spans="1:13" ht="75" x14ac:dyDescent="0.25">
      <c r="A720" s="116" t="s">
        <v>999</v>
      </c>
      <c r="B720" s="123"/>
      <c r="C720" s="116" t="s">
        <v>125</v>
      </c>
      <c r="D720" s="107" t="s">
        <v>1831</v>
      </c>
      <c r="E720" s="107" t="s">
        <v>2298</v>
      </c>
      <c r="F720" s="107" t="s">
        <v>80</v>
      </c>
      <c r="G720" s="104">
        <v>54</v>
      </c>
      <c r="H720" s="104">
        <v>54</v>
      </c>
      <c r="I720" s="85">
        <v>53</v>
      </c>
      <c r="J720" s="98"/>
      <c r="K720" s="14"/>
      <c r="L720" s="14"/>
      <c r="M720" s="14"/>
    </row>
    <row r="721" spans="1:13" ht="60" x14ac:dyDescent="0.25">
      <c r="A721" s="117"/>
      <c r="B721" s="123"/>
      <c r="C721" s="117"/>
      <c r="D721" s="107" t="s">
        <v>795</v>
      </c>
      <c r="E721" s="107" t="s">
        <v>16</v>
      </c>
      <c r="F721" s="107" t="s">
        <v>6</v>
      </c>
      <c r="G721" s="110">
        <v>4495.5334424913099</v>
      </c>
      <c r="H721" s="110">
        <v>4804.7285999999995</v>
      </c>
      <c r="I721" s="80">
        <v>4692.3761199999999</v>
      </c>
      <c r="J721" s="98"/>
      <c r="K721" s="14"/>
      <c r="L721" s="14"/>
      <c r="M721" s="14"/>
    </row>
    <row r="722" spans="1:13" ht="60" x14ac:dyDescent="0.25">
      <c r="A722" s="116" t="s">
        <v>1000</v>
      </c>
      <c r="B722" s="123"/>
      <c r="C722" s="116" t="s">
        <v>2153</v>
      </c>
      <c r="D722" s="107" t="s">
        <v>1832</v>
      </c>
      <c r="E722" s="107" t="s">
        <v>2299</v>
      </c>
      <c r="F722" s="107" t="s">
        <v>80</v>
      </c>
      <c r="G722" s="104">
        <v>69</v>
      </c>
      <c r="H722" s="104">
        <v>69</v>
      </c>
      <c r="I722" s="85">
        <v>69</v>
      </c>
      <c r="J722" s="98"/>
      <c r="K722" s="14"/>
      <c r="L722" s="14"/>
      <c r="M722" s="14"/>
    </row>
    <row r="723" spans="1:13" ht="60" x14ac:dyDescent="0.25">
      <c r="A723" s="117"/>
      <c r="B723" s="123"/>
      <c r="C723" s="117"/>
      <c r="D723" s="107" t="s">
        <v>795</v>
      </c>
      <c r="E723" s="107" t="s">
        <v>16</v>
      </c>
      <c r="F723" s="107" t="s">
        <v>6</v>
      </c>
      <c r="G723" s="110">
        <v>5744.2927383098822</v>
      </c>
      <c r="H723" s="110">
        <v>6139.3754400000007</v>
      </c>
      <c r="I723" s="80">
        <v>6108.9425000000001</v>
      </c>
      <c r="J723" s="98"/>
      <c r="K723" s="14"/>
      <c r="L723" s="14"/>
      <c r="M723" s="14"/>
    </row>
    <row r="724" spans="1:13" ht="75" x14ac:dyDescent="0.25">
      <c r="A724" s="116" t="s">
        <v>1001</v>
      </c>
      <c r="B724" s="123"/>
      <c r="C724" s="116" t="s">
        <v>2153</v>
      </c>
      <c r="D724" s="107" t="s">
        <v>1833</v>
      </c>
      <c r="E724" s="107" t="s">
        <v>2300</v>
      </c>
      <c r="F724" s="107" t="s">
        <v>80</v>
      </c>
      <c r="G724" s="104">
        <v>57</v>
      </c>
      <c r="H724" s="104">
        <v>57</v>
      </c>
      <c r="I724" s="85">
        <v>57</v>
      </c>
      <c r="J724" s="98"/>
      <c r="K724" s="14"/>
      <c r="L724" s="14"/>
      <c r="M724" s="14"/>
    </row>
    <row r="725" spans="1:13" ht="60" x14ac:dyDescent="0.25">
      <c r="A725" s="117"/>
      <c r="B725" s="123"/>
      <c r="C725" s="117"/>
      <c r="D725" s="107" t="s">
        <v>795</v>
      </c>
      <c r="E725" s="107" t="s">
        <v>16</v>
      </c>
      <c r="F725" s="107" t="s">
        <v>6</v>
      </c>
      <c r="G725" s="110">
        <v>4745.2853035263197</v>
      </c>
      <c r="H725" s="110">
        <v>5071.6579699999993</v>
      </c>
      <c r="I725" s="80">
        <v>5046.5177100000001</v>
      </c>
      <c r="J725" s="98"/>
      <c r="K725" s="14"/>
      <c r="L725" s="14"/>
      <c r="M725" s="14"/>
    </row>
    <row r="726" spans="1:13" ht="75" x14ac:dyDescent="0.25">
      <c r="A726" s="116" t="s">
        <v>1002</v>
      </c>
      <c r="B726" s="123"/>
      <c r="C726" s="116" t="s">
        <v>2153</v>
      </c>
      <c r="D726" s="107" t="s">
        <v>1834</v>
      </c>
      <c r="E726" s="107" t="s">
        <v>2301</v>
      </c>
      <c r="F726" s="107" t="s">
        <v>80</v>
      </c>
      <c r="G726" s="104">
        <v>66</v>
      </c>
      <c r="H726" s="104">
        <v>66</v>
      </c>
      <c r="I726" s="85">
        <v>66</v>
      </c>
      <c r="J726" s="98"/>
      <c r="K726" s="14"/>
      <c r="L726" s="14"/>
      <c r="M726" s="14"/>
    </row>
    <row r="727" spans="1:13" ht="60" x14ac:dyDescent="0.25">
      <c r="A727" s="117"/>
      <c r="B727" s="123"/>
      <c r="C727" s="117"/>
      <c r="D727" s="107" t="s">
        <v>795</v>
      </c>
      <c r="E727" s="107" t="s">
        <v>16</v>
      </c>
      <c r="F727" s="107" t="s">
        <v>6</v>
      </c>
      <c r="G727" s="110">
        <v>5494.5408772748715</v>
      </c>
      <c r="H727" s="110">
        <v>5872.44607</v>
      </c>
      <c r="I727" s="80">
        <v>5843.3362999999999</v>
      </c>
      <c r="J727" s="98"/>
      <c r="K727" s="14"/>
      <c r="L727" s="14"/>
      <c r="M727" s="14"/>
    </row>
    <row r="728" spans="1:13" ht="60" x14ac:dyDescent="0.25">
      <c r="A728" s="116" t="s">
        <v>1003</v>
      </c>
      <c r="B728" s="123"/>
      <c r="C728" s="116" t="s">
        <v>2165</v>
      </c>
      <c r="D728" s="107" t="s">
        <v>1835</v>
      </c>
      <c r="E728" s="107" t="s">
        <v>2302</v>
      </c>
      <c r="F728" s="107" t="s">
        <v>80</v>
      </c>
      <c r="G728" s="104">
        <v>72</v>
      </c>
      <c r="H728" s="104">
        <v>72</v>
      </c>
      <c r="I728" s="85">
        <v>72</v>
      </c>
      <c r="J728" s="98"/>
      <c r="K728" s="14"/>
      <c r="L728" s="14"/>
      <c r="M728" s="14"/>
    </row>
    <row r="729" spans="1:13" ht="60" x14ac:dyDescent="0.25">
      <c r="A729" s="117"/>
      <c r="B729" s="123"/>
      <c r="C729" s="117"/>
      <c r="D729" s="107" t="s">
        <v>795</v>
      </c>
      <c r="E729" s="107" t="s">
        <v>16</v>
      </c>
      <c r="F729" s="107" t="s">
        <v>6</v>
      </c>
      <c r="G729" s="110">
        <v>5994.0445899884144</v>
      </c>
      <c r="H729" s="110">
        <v>6406.3047999999999</v>
      </c>
      <c r="I729" s="80">
        <v>6374.5486900000005</v>
      </c>
      <c r="J729" s="98"/>
      <c r="K729" s="14"/>
      <c r="L729" s="14"/>
      <c r="M729" s="14"/>
    </row>
    <row r="730" spans="1:13" ht="87.75" customHeight="1" x14ac:dyDescent="0.25">
      <c r="A730" s="116" t="s">
        <v>1004</v>
      </c>
      <c r="B730" s="123"/>
      <c r="C730" s="116" t="s">
        <v>125</v>
      </c>
      <c r="D730" s="5" t="s">
        <v>1836</v>
      </c>
      <c r="E730" s="107" t="s">
        <v>2303</v>
      </c>
      <c r="F730" s="107" t="s">
        <v>80</v>
      </c>
      <c r="G730" s="104">
        <v>8</v>
      </c>
      <c r="H730" s="104">
        <v>8</v>
      </c>
      <c r="I730" s="85">
        <v>8</v>
      </c>
      <c r="J730" s="98"/>
      <c r="K730" s="14"/>
      <c r="L730" s="14"/>
      <c r="M730" s="14"/>
    </row>
    <row r="731" spans="1:13" ht="60" x14ac:dyDescent="0.25">
      <c r="A731" s="117"/>
      <c r="B731" s="123"/>
      <c r="C731" s="117"/>
      <c r="D731" s="107" t="s">
        <v>795</v>
      </c>
      <c r="E731" s="107" t="s">
        <v>16</v>
      </c>
      <c r="F731" s="107" t="s">
        <v>6</v>
      </c>
      <c r="G731" s="110">
        <v>718.62077330993873</v>
      </c>
      <c r="H731" s="110">
        <v>768.04629</v>
      </c>
      <c r="I731" s="80">
        <v>768.86752999999999</v>
      </c>
      <c r="J731" s="98"/>
      <c r="K731" s="14"/>
      <c r="L731" s="14"/>
      <c r="M731" s="14"/>
    </row>
    <row r="732" spans="1:13" ht="90" x14ac:dyDescent="0.25">
      <c r="A732" s="116" t="s">
        <v>1005</v>
      </c>
      <c r="B732" s="123"/>
      <c r="C732" s="116" t="s">
        <v>2173</v>
      </c>
      <c r="D732" s="107" t="s">
        <v>1802</v>
      </c>
      <c r="E732" s="107" t="s">
        <v>2304</v>
      </c>
      <c r="F732" s="107" t="s">
        <v>54</v>
      </c>
      <c r="G732" s="110">
        <v>8250</v>
      </c>
      <c r="H732" s="110">
        <v>8250</v>
      </c>
      <c r="I732" s="80">
        <v>8316</v>
      </c>
      <c r="J732" s="98"/>
      <c r="K732" s="14"/>
      <c r="L732" s="14"/>
      <c r="M732" s="14"/>
    </row>
    <row r="733" spans="1:13" ht="60" x14ac:dyDescent="0.25">
      <c r="A733" s="117"/>
      <c r="B733" s="123"/>
      <c r="C733" s="117"/>
      <c r="D733" s="107" t="s">
        <v>795</v>
      </c>
      <c r="E733" s="107" t="s">
        <v>16</v>
      </c>
      <c r="F733" s="107" t="s">
        <v>6</v>
      </c>
      <c r="G733" s="110">
        <v>428.87285330429319</v>
      </c>
      <c r="H733" s="110">
        <v>458.37</v>
      </c>
      <c r="I733" s="80">
        <v>462.03696000000002</v>
      </c>
      <c r="J733" s="98"/>
      <c r="K733" s="14"/>
      <c r="L733" s="14"/>
      <c r="M733" s="14"/>
    </row>
    <row r="734" spans="1:13" ht="60" x14ac:dyDescent="0.25">
      <c r="A734" s="116" t="s">
        <v>1006</v>
      </c>
      <c r="B734" s="123"/>
      <c r="C734" s="116" t="s">
        <v>125</v>
      </c>
      <c r="D734" s="107" t="s">
        <v>1837</v>
      </c>
      <c r="E734" s="107" t="s">
        <v>2305</v>
      </c>
      <c r="F734" s="107" t="s">
        <v>80</v>
      </c>
      <c r="G734" s="104">
        <v>53</v>
      </c>
      <c r="H734" s="104">
        <v>53</v>
      </c>
      <c r="I734" s="85">
        <v>53</v>
      </c>
      <c r="J734" s="98"/>
      <c r="K734" s="14"/>
      <c r="L734" s="14"/>
      <c r="M734" s="14"/>
    </row>
    <row r="735" spans="1:13" ht="60" x14ac:dyDescent="0.25">
      <c r="A735" s="117"/>
      <c r="B735" s="123"/>
      <c r="C735" s="117"/>
      <c r="D735" s="107" t="s">
        <v>801</v>
      </c>
      <c r="E735" s="107" t="s">
        <v>16</v>
      </c>
      <c r="F735" s="107" t="s">
        <v>6</v>
      </c>
      <c r="G735" s="110">
        <v>4989.5267888472463</v>
      </c>
      <c r="H735" s="110">
        <v>5332.6979700000002</v>
      </c>
      <c r="I735" s="80">
        <v>5303.7953200000002</v>
      </c>
      <c r="J735" s="98"/>
      <c r="K735" s="14"/>
      <c r="L735" s="14"/>
      <c r="M735" s="14"/>
    </row>
    <row r="736" spans="1:13" ht="75" x14ac:dyDescent="0.25">
      <c r="A736" s="116" t="s">
        <v>1007</v>
      </c>
      <c r="B736" s="123"/>
      <c r="C736" s="116" t="s">
        <v>125</v>
      </c>
      <c r="D736" s="107" t="s">
        <v>1838</v>
      </c>
      <c r="E736" s="107" t="s">
        <v>2306</v>
      </c>
      <c r="F736" s="107" t="s">
        <v>80</v>
      </c>
      <c r="G736" s="104">
        <v>22</v>
      </c>
      <c r="H736" s="104">
        <v>22</v>
      </c>
      <c r="I736" s="85">
        <v>22</v>
      </c>
      <c r="J736" s="98"/>
      <c r="K736" s="14"/>
      <c r="L736" s="14"/>
      <c r="M736" s="14"/>
    </row>
    <row r="737" spans="1:13" ht="60" x14ac:dyDescent="0.25">
      <c r="A737" s="117"/>
      <c r="B737" s="123"/>
      <c r="C737" s="117"/>
      <c r="D737" s="107" t="s">
        <v>801</v>
      </c>
      <c r="E737" s="107" t="s">
        <v>16</v>
      </c>
      <c r="F737" s="107" t="s">
        <v>6</v>
      </c>
      <c r="G737" s="110">
        <v>2071.1243253275788</v>
      </c>
      <c r="H737" s="110">
        <v>2213.5727400000001</v>
      </c>
      <c r="I737" s="80">
        <v>2201.5754200000001</v>
      </c>
      <c r="J737" s="98"/>
      <c r="K737" s="14"/>
      <c r="L737" s="14"/>
      <c r="M737" s="14"/>
    </row>
    <row r="738" spans="1:13" ht="75" x14ac:dyDescent="0.25">
      <c r="A738" s="116" t="s">
        <v>1008</v>
      </c>
      <c r="B738" s="123"/>
      <c r="C738" s="116" t="s">
        <v>125</v>
      </c>
      <c r="D738" s="107" t="s">
        <v>1839</v>
      </c>
      <c r="E738" s="107" t="s">
        <v>2307</v>
      </c>
      <c r="F738" s="107" t="s">
        <v>80</v>
      </c>
      <c r="G738" s="104">
        <v>198</v>
      </c>
      <c r="H738" s="104">
        <v>198</v>
      </c>
      <c r="I738" s="85">
        <v>198</v>
      </c>
      <c r="J738" s="98"/>
      <c r="K738" s="14"/>
      <c r="L738" s="14"/>
      <c r="M738" s="14"/>
    </row>
    <row r="739" spans="1:13" ht="60" x14ac:dyDescent="0.25">
      <c r="A739" s="117"/>
      <c r="B739" s="123"/>
      <c r="C739" s="117"/>
      <c r="D739" s="107" t="s">
        <v>801</v>
      </c>
      <c r="E739" s="107" t="s">
        <v>16</v>
      </c>
      <c r="F739" s="107" t="s">
        <v>6</v>
      </c>
      <c r="G739" s="110">
        <v>17026.298384900929</v>
      </c>
      <c r="H739" s="110">
        <v>18197.33828</v>
      </c>
      <c r="I739" s="80">
        <v>18166.444740000003</v>
      </c>
      <c r="J739" s="98"/>
      <c r="K739" s="14"/>
      <c r="L739" s="14"/>
      <c r="M739" s="14"/>
    </row>
    <row r="740" spans="1:13" ht="60" x14ac:dyDescent="0.25">
      <c r="A740" s="116" t="s">
        <v>1009</v>
      </c>
      <c r="B740" s="123"/>
      <c r="C740" s="116" t="s">
        <v>125</v>
      </c>
      <c r="D740" s="107" t="s">
        <v>1840</v>
      </c>
      <c r="E740" s="107" t="s">
        <v>2308</v>
      </c>
      <c r="F740" s="107" t="s">
        <v>80</v>
      </c>
      <c r="G740" s="104">
        <v>70</v>
      </c>
      <c r="H740" s="104">
        <v>70</v>
      </c>
      <c r="I740" s="85">
        <v>70</v>
      </c>
      <c r="J740" s="98"/>
      <c r="K740" s="14"/>
      <c r="L740" s="14"/>
      <c r="M740" s="14"/>
    </row>
    <row r="741" spans="1:13" ht="60" x14ac:dyDescent="0.25">
      <c r="A741" s="117"/>
      <c r="B741" s="123"/>
      <c r="C741" s="117"/>
      <c r="D741" s="107" t="s">
        <v>801</v>
      </c>
      <c r="E741" s="107" t="s">
        <v>16</v>
      </c>
      <c r="F741" s="107" t="s">
        <v>6</v>
      </c>
      <c r="G741" s="110">
        <v>5334.5588495209886</v>
      </c>
      <c r="H741" s="110">
        <v>5701.4607500000002</v>
      </c>
      <c r="I741" s="80">
        <v>5701.4607500000002</v>
      </c>
      <c r="J741" s="98"/>
      <c r="K741" s="14"/>
      <c r="L741" s="14"/>
      <c r="M741" s="14"/>
    </row>
    <row r="742" spans="1:13" ht="60" x14ac:dyDescent="0.25">
      <c r="A742" s="116" t="s">
        <v>1010</v>
      </c>
      <c r="B742" s="123"/>
      <c r="C742" s="116" t="s">
        <v>125</v>
      </c>
      <c r="D742" s="107" t="s">
        <v>1841</v>
      </c>
      <c r="E742" s="107" t="s">
        <v>2309</v>
      </c>
      <c r="F742" s="107" t="s">
        <v>80</v>
      </c>
      <c r="G742" s="104">
        <v>8</v>
      </c>
      <c r="H742" s="104">
        <v>8</v>
      </c>
      <c r="I742" s="85">
        <v>8</v>
      </c>
      <c r="J742" s="98"/>
      <c r="K742" s="14"/>
      <c r="L742" s="14"/>
      <c r="M742" s="14"/>
    </row>
    <row r="743" spans="1:13" ht="60" x14ac:dyDescent="0.25">
      <c r="A743" s="117"/>
      <c r="B743" s="123"/>
      <c r="C743" s="117"/>
      <c r="D743" s="107" t="s">
        <v>801</v>
      </c>
      <c r="E743" s="107" t="s">
        <v>16</v>
      </c>
      <c r="F743" s="107" t="s">
        <v>6</v>
      </c>
      <c r="G743" s="110">
        <v>609.66386450676555</v>
      </c>
      <c r="H743" s="110">
        <v>651.59550999999999</v>
      </c>
      <c r="I743" s="80">
        <v>651.59550999999999</v>
      </c>
      <c r="J743" s="98"/>
      <c r="K743" s="14"/>
      <c r="L743" s="14"/>
      <c r="M743" s="14"/>
    </row>
    <row r="744" spans="1:13" ht="75" x14ac:dyDescent="0.25">
      <c r="A744" s="116" t="s">
        <v>1011</v>
      </c>
      <c r="B744" s="123"/>
      <c r="C744" s="116" t="s">
        <v>125</v>
      </c>
      <c r="D744" s="107" t="s">
        <v>1842</v>
      </c>
      <c r="E744" s="107" t="s">
        <v>2310</v>
      </c>
      <c r="F744" s="107" t="s">
        <v>80</v>
      </c>
      <c r="G744" s="104">
        <v>47</v>
      </c>
      <c r="H744" s="104">
        <v>47</v>
      </c>
      <c r="I744" s="85">
        <v>47</v>
      </c>
      <c r="J744" s="98"/>
      <c r="K744" s="14"/>
      <c r="L744" s="14"/>
      <c r="M744" s="14"/>
    </row>
    <row r="745" spans="1:13" ht="60" x14ac:dyDescent="0.25">
      <c r="A745" s="117"/>
      <c r="B745" s="123"/>
      <c r="C745" s="117"/>
      <c r="D745" s="107" t="s">
        <v>802</v>
      </c>
      <c r="E745" s="107" t="s">
        <v>16</v>
      </c>
      <c r="F745" s="107" t="s">
        <v>6</v>
      </c>
      <c r="G745" s="110">
        <v>3581.7752215206428</v>
      </c>
      <c r="H745" s="110">
        <v>3828.1236400000003</v>
      </c>
      <c r="I745" s="80">
        <v>3828.1236400000003</v>
      </c>
      <c r="J745" s="98"/>
      <c r="K745" s="14"/>
      <c r="L745" s="14"/>
      <c r="M745" s="14"/>
    </row>
    <row r="746" spans="1:13" ht="75" x14ac:dyDescent="0.25">
      <c r="A746" s="116" t="s">
        <v>1012</v>
      </c>
      <c r="B746" s="123"/>
      <c r="C746" s="116" t="s">
        <v>2153</v>
      </c>
      <c r="D746" s="107" t="s">
        <v>1843</v>
      </c>
      <c r="E746" s="107" t="s">
        <v>2311</v>
      </c>
      <c r="F746" s="107" t="s">
        <v>80</v>
      </c>
      <c r="G746" s="104">
        <v>90</v>
      </c>
      <c r="H746" s="104">
        <v>90</v>
      </c>
      <c r="I746" s="85">
        <v>90</v>
      </c>
      <c r="J746" s="98"/>
      <c r="K746" s="14"/>
      <c r="L746" s="14"/>
      <c r="M746" s="14"/>
    </row>
    <row r="747" spans="1:13" ht="60" x14ac:dyDescent="0.25">
      <c r="A747" s="117"/>
      <c r="B747" s="123"/>
      <c r="C747" s="117"/>
      <c r="D747" s="107" t="s">
        <v>801</v>
      </c>
      <c r="E747" s="107" t="s">
        <v>16</v>
      </c>
      <c r="F747" s="107" t="s">
        <v>6</v>
      </c>
      <c r="G747" s="110">
        <v>6858.7185154661411</v>
      </c>
      <c r="H747" s="110">
        <v>7330.4495299999999</v>
      </c>
      <c r="I747" s="80">
        <v>7330.4495299999999</v>
      </c>
      <c r="J747" s="98"/>
      <c r="K747" s="14"/>
      <c r="L747" s="14"/>
      <c r="M747" s="14"/>
    </row>
    <row r="748" spans="1:13" ht="60" x14ac:dyDescent="0.25">
      <c r="A748" s="116" t="s">
        <v>1013</v>
      </c>
      <c r="B748" s="123"/>
      <c r="C748" s="116" t="s">
        <v>2153</v>
      </c>
      <c r="D748" s="107" t="s">
        <v>1844</v>
      </c>
      <c r="E748" s="107" t="s">
        <v>2312</v>
      </c>
      <c r="F748" s="107" t="s">
        <v>80</v>
      </c>
      <c r="G748" s="104">
        <v>21</v>
      </c>
      <c r="H748" s="104">
        <v>21</v>
      </c>
      <c r="I748" s="85">
        <v>21</v>
      </c>
      <c r="J748" s="98"/>
      <c r="K748" s="14"/>
      <c r="L748" s="14"/>
      <c r="M748" s="14"/>
    </row>
    <row r="749" spans="1:13" ht="60" x14ac:dyDescent="0.25">
      <c r="A749" s="117"/>
      <c r="B749" s="123"/>
      <c r="C749" s="117"/>
      <c r="D749" s="107" t="s">
        <v>801</v>
      </c>
      <c r="E749" s="107" t="s">
        <v>16</v>
      </c>
      <c r="F749" s="107" t="s">
        <v>6</v>
      </c>
      <c r="G749" s="110">
        <v>1600.3676501780578</v>
      </c>
      <c r="H749" s="110">
        <v>1710.43822</v>
      </c>
      <c r="I749" s="80">
        <v>1710.43822</v>
      </c>
      <c r="J749" s="98"/>
      <c r="K749" s="14"/>
      <c r="L749" s="14"/>
      <c r="M749" s="14"/>
    </row>
    <row r="750" spans="1:13" ht="60" x14ac:dyDescent="0.25">
      <c r="A750" s="116" t="s">
        <v>1014</v>
      </c>
      <c r="B750" s="123"/>
      <c r="C750" s="116" t="s">
        <v>2314</v>
      </c>
      <c r="D750" s="107" t="s">
        <v>1845</v>
      </c>
      <c r="E750" s="107" t="s">
        <v>2313</v>
      </c>
      <c r="F750" s="107" t="s">
        <v>80</v>
      </c>
      <c r="G750" s="104">
        <v>33</v>
      </c>
      <c r="H750" s="104">
        <v>33</v>
      </c>
      <c r="I750" s="85">
        <v>33</v>
      </c>
      <c r="J750" s="98"/>
      <c r="K750" s="14"/>
      <c r="L750" s="14"/>
      <c r="M750" s="14"/>
    </row>
    <row r="751" spans="1:13" ht="60" x14ac:dyDescent="0.25">
      <c r="A751" s="117"/>
      <c r="B751" s="123"/>
      <c r="C751" s="117"/>
      <c r="D751" s="107" t="s">
        <v>802</v>
      </c>
      <c r="E751" s="107" t="s">
        <v>16</v>
      </c>
      <c r="F751" s="107" t="s">
        <v>6</v>
      </c>
      <c r="G751" s="110">
        <v>2514.8634516164448</v>
      </c>
      <c r="H751" s="110">
        <v>2687.83149</v>
      </c>
      <c r="I751" s="80">
        <v>2687.83149</v>
      </c>
      <c r="J751" s="98"/>
      <c r="K751" s="14"/>
      <c r="L751" s="14"/>
      <c r="M751" s="14"/>
    </row>
    <row r="752" spans="1:13" ht="60" x14ac:dyDescent="0.25">
      <c r="A752" s="116" t="s">
        <v>1015</v>
      </c>
      <c r="B752" s="123"/>
      <c r="C752" s="116" t="s">
        <v>125</v>
      </c>
      <c r="D752" s="107" t="s">
        <v>1846</v>
      </c>
      <c r="E752" s="107" t="s">
        <v>2315</v>
      </c>
      <c r="F752" s="107" t="s">
        <v>80</v>
      </c>
      <c r="G752" s="104">
        <v>32</v>
      </c>
      <c r="H752" s="104">
        <v>32</v>
      </c>
      <c r="I752" s="85">
        <v>32</v>
      </c>
      <c r="J752" s="98"/>
      <c r="K752" s="14"/>
      <c r="L752" s="14"/>
      <c r="M752" s="14"/>
    </row>
    <row r="753" spans="1:13" ht="60" x14ac:dyDescent="0.25">
      <c r="A753" s="117"/>
      <c r="B753" s="123"/>
      <c r="C753" s="117"/>
      <c r="D753" s="107" t="s">
        <v>801</v>
      </c>
      <c r="E753" s="107" t="s">
        <v>16</v>
      </c>
      <c r="F753" s="107" t="s">
        <v>6</v>
      </c>
      <c r="G753" s="110">
        <v>2682.6366046668359</v>
      </c>
      <c r="H753" s="110">
        <f>2844.27194+22.54</f>
        <v>2866.81194</v>
      </c>
      <c r="I753" s="80">
        <v>2843.6011200000003</v>
      </c>
      <c r="J753" s="98"/>
      <c r="K753" s="14"/>
      <c r="L753" s="14"/>
      <c r="M753" s="14"/>
    </row>
    <row r="754" spans="1:13" ht="60" x14ac:dyDescent="0.25">
      <c r="A754" s="116" t="s">
        <v>1016</v>
      </c>
      <c r="B754" s="123"/>
      <c r="C754" s="116" t="s">
        <v>125</v>
      </c>
      <c r="D754" s="107" t="s">
        <v>1847</v>
      </c>
      <c r="E754" s="107" t="s">
        <v>2316</v>
      </c>
      <c r="F754" s="107" t="s">
        <v>80</v>
      </c>
      <c r="G754" s="104">
        <v>19</v>
      </c>
      <c r="H754" s="104">
        <v>19</v>
      </c>
      <c r="I754" s="85">
        <v>19</v>
      </c>
      <c r="J754" s="98"/>
      <c r="K754" s="14"/>
      <c r="L754" s="14"/>
      <c r="M754" s="14"/>
    </row>
    <row r="755" spans="1:13" ht="60" x14ac:dyDescent="0.25">
      <c r="A755" s="117"/>
      <c r="B755" s="123"/>
      <c r="C755" s="117"/>
      <c r="D755" s="107" t="s">
        <v>801</v>
      </c>
      <c r="E755" s="107" t="s">
        <v>16</v>
      </c>
      <c r="F755" s="107" t="s">
        <v>6</v>
      </c>
      <c r="G755" s="110">
        <v>1580.1092299274749</v>
      </c>
      <c r="H755" s="110">
        <v>1688.78646</v>
      </c>
      <c r="I755" s="80">
        <v>1688.38816</v>
      </c>
      <c r="J755" s="98"/>
      <c r="K755" s="14"/>
      <c r="L755" s="14"/>
      <c r="M755" s="14"/>
    </row>
    <row r="756" spans="1:13" ht="60" x14ac:dyDescent="0.25">
      <c r="A756" s="116" t="s">
        <v>1017</v>
      </c>
      <c r="B756" s="123"/>
      <c r="C756" s="116" t="s">
        <v>189</v>
      </c>
      <c r="D756" s="107" t="s">
        <v>1848</v>
      </c>
      <c r="E756" s="107" t="s">
        <v>2317</v>
      </c>
      <c r="F756" s="107" t="s">
        <v>80</v>
      </c>
      <c r="G756" s="19">
        <v>2217</v>
      </c>
      <c r="H756" s="19">
        <v>2217</v>
      </c>
      <c r="I756" s="73">
        <v>2100</v>
      </c>
      <c r="J756" s="98"/>
      <c r="K756" s="14"/>
      <c r="L756" s="14"/>
      <c r="M756" s="14"/>
    </row>
    <row r="757" spans="1:13" ht="60" x14ac:dyDescent="0.25">
      <c r="A757" s="117"/>
      <c r="B757" s="123"/>
      <c r="C757" s="117"/>
      <c r="D757" s="107" t="s">
        <v>806</v>
      </c>
      <c r="E757" s="107" t="s">
        <v>16</v>
      </c>
      <c r="F757" s="107" t="s">
        <v>6</v>
      </c>
      <c r="G757" s="110">
        <v>14093.11046</v>
      </c>
      <c r="H757" s="110">
        <v>14093.11046</v>
      </c>
      <c r="I757" s="80">
        <v>13349.357840000001</v>
      </c>
      <c r="J757" s="98"/>
      <c r="K757" s="14"/>
      <c r="L757" s="14"/>
      <c r="M757" s="14"/>
    </row>
    <row r="758" spans="1:13" ht="60" x14ac:dyDescent="0.25">
      <c r="A758" s="116" t="s">
        <v>1018</v>
      </c>
      <c r="B758" s="123"/>
      <c r="C758" s="116" t="s">
        <v>198</v>
      </c>
      <c r="D758" s="107" t="s">
        <v>1849</v>
      </c>
      <c r="E758" s="5" t="s">
        <v>2319</v>
      </c>
      <c r="F758" s="5" t="s">
        <v>2318</v>
      </c>
      <c r="G758" s="19">
        <v>70</v>
      </c>
      <c r="H758" s="19">
        <v>70</v>
      </c>
      <c r="I758" s="73">
        <v>70</v>
      </c>
      <c r="J758" s="98"/>
      <c r="K758" s="14"/>
      <c r="L758" s="14"/>
      <c r="M758" s="14"/>
    </row>
    <row r="759" spans="1:13" ht="60" x14ac:dyDescent="0.25">
      <c r="A759" s="117"/>
      <c r="B759" s="123"/>
      <c r="C759" s="117"/>
      <c r="D759" s="107" t="s">
        <v>806</v>
      </c>
      <c r="E759" s="107" t="s">
        <v>16</v>
      </c>
      <c r="F759" s="107" t="s">
        <v>6</v>
      </c>
      <c r="G759" s="110">
        <v>3937.02189</v>
      </c>
      <c r="H759" s="110">
        <v>3937.02189</v>
      </c>
      <c r="I759" s="80">
        <v>3873.8707400000003</v>
      </c>
      <c r="J759" s="98"/>
      <c r="K759" s="14"/>
      <c r="L759" s="14"/>
      <c r="M759" s="14"/>
    </row>
    <row r="760" spans="1:13" ht="60" x14ac:dyDescent="0.25">
      <c r="A760" s="116" t="s">
        <v>1019</v>
      </c>
      <c r="B760" s="123"/>
      <c r="C760" s="116" t="s">
        <v>2320</v>
      </c>
      <c r="D760" s="107" t="s">
        <v>1850</v>
      </c>
      <c r="E760" s="107" t="s">
        <v>2321</v>
      </c>
      <c r="F760" s="107" t="s">
        <v>80</v>
      </c>
      <c r="G760" s="19">
        <v>29</v>
      </c>
      <c r="H760" s="19">
        <v>29</v>
      </c>
      <c r="I760" s="73">
        <v>29</v>
      </c>
      <c r="J760" s="98"/>
      <c r="K760" s="14"/>
      <c r="L760" s="14"/>
      <c r="M760" s="14"/>
    </row>
    <row r="761" spans="1:13" ht="60" x14ac:dyDescent="0.25">
      <c r="A761" s="117"/>
      <c r="B761" s="123"/>
      <c r="C761" s="117"/>
      <c r="D761" s="107" t="s">
        <v>806</v>
      </c>
      <c r="E761" s="107" t="s">
        <v>16</v>
      </c>
      <c r="F761" s="107" t="s">
        <v>6</v>
      </c>
      <c r="G761" s="110">
        <v>5652.3280299999997</v>
      </c>
      <c r="H761" s="110">
        <v>5652.3280299999997</v>
      </c>
      <c r="I761" s="80">
        <v>5641.8329199999998</v>
      </c>
      <c r="J761" s="98"/>
      <c r="K761" s="14"/>
      <c r="L761" s="14"/>
      <c r="M761" s="14"/>
    </row>
    <row r="762" spans="1:13" ht="60" x14ac:dyDescent="0.25">
      <c r="A762" s="116" t="s">
        <v>1020</v>
      </c>
      <c r="B762" s="123"/>
      <c r="C762" s="116" t="s">
        <v>190</v>
      </c>
      <c r="D762" s="107" t="s">
        <v>1851</v>
      </c>
      <c r="E762" s="107" t="s">
        <v>807</v>
      </c>
      <c r="F762" s="107" t="s">
        <v>80</v>
      </c>
      <c r="G762" s="19">
        <v>429</v>
      </c>
      <c r="H762" s="19">
        <v>429</v>
      </c>
      <c r="I762" s="73">
        <v>418</v>
      </c>
      <c r="J762" s="98"/>
      <c r="K762" s="14"/>
      <c r="L762" s="14"/>
      <c r="M762" s="14"/>
    </row>
    <row r="763" spans="1:13" ht="60" x14ac:dyDescent="0.25">
      <c r="A763" s="117"/>
      <c r="B763" s="123"/>
      <c r="C763" s="117"/>
      <c r="D763" s="107" t="s">
        <v>806</v>
      </c>
      <c r="E763" s="107" t="s">
        <v>16</v>
      </c>
      <c r="F763" s="107" t="s">
        <v>6</v>
      </c>
      <c r="G763" s="110">
        <v>114476.823</v>
      </c>
      <c r="H763" s="110">
        <v>114476.823</v>
      </c>
      <c r="I763" s="80">
        <v>111456.36599999999</v>
      </c>
      <c r="J763" s="98"/>
      <c r="K763" s="14"/>
      <c r="L763" s="14"/>
      <c r="M763" s="14"/>
    </row>
    <row r="764" spans="1:13" ht="60" x14ac:dyDescent="0.25">
      <c r="A764" s="116" t="s">
        <v>1021</v>
      </c>
      <c r="B764" s="123"/>
      <c r="C764" s="116" t="s">
        <v>190</v>
      </c>
      <c r="D764" s="107" t="s">
        <v>2322</v>
      </c>
      <c r="E764" s="107" t="s">
        <v>2323</v>
      </c>
      <c r="F764" s="107" t="s">
        <v>80</v>
      </c>
      <c r="G764" s="19">
        <v>35</v>
      </c>
      <c r="H764" s="19">
        <v>35</v>
      </c>
      <c r="I764" s="73">
        <v>38</v>
      </c>
      <c r="J764" s="98"/>
      <c r="K764" s="14"/>
      <c r="L764" s="14"/>
      <c r="M764" s="14"/>
    </row>
    <row r="765" spans="1:13" ht="60" x14ac:dyDescent="0.25">
      <c r="A765" s="117"/>
      <c r="B765" s="123"/>
      <c r="C765" s="117"/>
      <c r="D765" s="107" t="s">
        <v>806</v>
      </c>
      <c r="E765" s="107" t="s">
        <v>16</v>
      </c>
      <c r="F765" s="107" t="s">
        <v>6</v>
      </c>
      <c r="G765" s="110">
        <v>9610.5450000000001</v>
      </c>
      <c r="H765" s="110">
        <v>9610.5450000000001</v>
      </c>
      <c r="I765" s="80">
        <v>10434.306</v>
      </c>
      <c r="J765" s="98"/>
      <c r="K765" s="14"/>
      <c r="L765" s="14"/>
      <c r="M765" s="14"/>
    </row>
    <row r="766" spans="1:13" ht="60" x14ac:dyDescent="0.25">
      <c r="A766" s="116" t="s">
        <v>1022</v>
      </c>
      <c r="B766" s="123"/>
      <c r="C766" s="116" t="s">
        <v>190</v>
      </c>
      <c r="D766" s="107" t="s">
        <v>1852</v>
      </c>
      <c r="E766" s="107" t="s">
        <v>808</v>
      </c>
      <c r="F766" s="107" t="s">
        <v>80</v>
      </c>
      <c r="G766" s="19">
        <v>174</v>
      </c>
      <c r="H766" s="19">
        <v>174</v>
      </c>
      <c r="I766" s="73">
        <v>164</v>
      </c>
      <c r="J766" s="98"/>
      <c r="K766" s="14"/>
      <c r="L766" s="14"/>
      <c r="M766" s="14"/>
    </row>
    <row r="767" spans="1:13" ht="60" x14ac:dyDescent="0.25">
      <c r="A767" s="117"/>
      <c r="B767" s="123"/>
      <c r="C767" s="117"/>
      <c r="D767" s="107" t="s">
        <v>809</v>
      </c>
      <c r="E767" s="107" t="s">
        <v>16</v>
      </c>
      <c r="F767" s="107" t="s">
        <v>6</v>
      </c>
      <c r="G767" s="110">
        <v>25186.877549999997</v>
      </c>
      <c r="H767" s="110">
        <v>25186.877549999997</v>
      </c>
      <c r="I767" s="80">
        <v>23171.318769999998</v>
      </c>
      <c r="J767" s="98"/>
      <c r="K767" s="14"/>
      <c r="L767" s="14"/>
      <c r="M767" s="14"/>
    </row>
    <row r="768" spans="1:13" ht="60" x14ac:dyDescent="0.25">
      <c r="A768" s="116" t="s">
        <v>1023</v>
      </c>
      <c r="B768" s="123"/>
      <c r="C768" s="116" t="s">
        <v>190</v>
      </c>
      <c r="D768" s="107" t="s">
        <v>1853</v>
      </c>
      <c r="E768" s="107" t="s">
        <v>810</v>
      </c>
      <c r="F768" s="107" t="s">
        <v>80</v>
      </c>
      <c r="G768" s="19">
        <v>25</v>
      </c>
      <c r="H768" s="19">
        <v>25</v>
      </c>
      <c r="I768" s="73">
        <v>22</v>
      </c>
      <c r="J768" s="98"/>
      <c r="K768" s="14"/>
      <c r="L768" s="14"/>
      <c r="M768" s="14"/>
    </row>
    <row r="769" spans="1:13" ht="60" x14ac:dyDescent="0.25">
      <c r="A769" s="117"/>
      <c r="B769" s="123"/>
      <c r="C769" s="117"/>
      <c r="D769" s="107" t="s">
        <v>806</v>
      </c>
      <c r="E769" s="107" t="s">
        <v>16</v>
      </c>
      <c r="F769" s="107" t="s">
        <v>6</v>
      </c>
      <c r="G769" s="110">
        <v>2321.0837799999999</v>
      </c>
      <c r="H769" s="110">
        <v>2321.0837799999999</v>
      </c>
      <c r="I769" s="80">
        <v>2059.2559799999999</v>
      </c>
      <c r="J769" s="98"/>
      <c r="K769" s="14"/>
      <c r="L769" s="14"/>
      <c r="M769" s="14"/>
    </row>
    <row r="770" spans="1:13" ht="60" x14ac:dyDescent="0.25">
      <c r="A770" s="116" t="s">
        <v>1024</v>
      </c>
      <c r="B770" s="123"/>
      <c r="C770" s="116" t="s">
        <v>189</v>
      </c>
      <c r="D770" s="107" t="s">
        <v>1848</v>
      </c>
      <c r="E770" s="107" t="s">
        <v>2317</v>
      </c>
      <c r="F770" s="107" t="s">
        <v>80</v>
      </c>
      <c r="G770" s="19">
        <v>52</v>
      </c>
      <c r="H770" s="19">
        <v>52</v>
      </c>
      <c r="I770" s="73">
        <v>41</v>
      </c>
      <c r="J770" s="98"/>
      <c r="K770" s="14"/>
      <c r="L770" s="14"/>
      <c r="M770" s="14"/>
    </row>
    <row r="771" spans="1:13" ht="60" x14ac:dyDescent="0.25">
      <c r="A771" s="117"/>
      <c r="B771" s="123"/>
      <c r="C771" s="117"/>
      <c r="D771" s="107" t="s">
        <v>806</v>
      </c>
      <c r="E771" s="107" t="s">
        <v>16</v>
      </c>
      <c r="F771" s="107" t="s">
        <v>6</v>
      </c>
      <c r="G771" s="110">
        <v>6892.4249800000007</v>
      </c>
      <c r="H771" s="110">
        <v>6892.4249800000007</v>
      </c>
      <c r="I771" s="80">
        <v>6637.3483200000001</v>
      </c>
      <c r="J771" s="98"/>
      <c r="K771" s="14"/>
      <c r="L771" s="14"/>
      <c r="M771" s="14"/>
    </row>
    <row r="772" spans="1:13" ht="60" x14ac:dyDescent="0.25">
      <c r="A772" s="116" t="s">
        <v>1025</v>
      </c>
      <c r="B772" s="123"/>
      <c r="C772" s="116" t="s">
        <v>191</v>
      </c>
      <c r="D772" s="107" t="s">
        <v>1854</v>
      </c>
      <c r="E772" s="107" t="s">
        <v>2324</v>
      </c>
      <c r="F772" s="107" t="s">
        <v>80</v>
      </c>
      <c r="G772" s="19">
        <v>71</v>
      </c>
      <c r="H772" s="19">
        <v>71</v>
      </c>
      <c r="I772" s="73">
        <v>65</v>
      </c>
      <c r="J772" s="98"/>
      <c r="K772" s="14"/>
      <c r="L772" s="14"/>
      <c r="M772" s="14"/>
    </row>
    <row r="773" spans="1:13" ht="60" x14ac:dyDescent="0.25">
      <c r="A773" s="117"/>
      <c r="B773" s="123"/>
      <c r="C773" s="117"/>
      <c r="D773" s="107" t="s">
        <v>806</v>
      </c>
      <c r="E773" s="107" t="s">
        <v>16</v>
      </c>
      <c r="F773" s="107" t="s">
        <v>6</v>
      </c>
      <c r="G773" s="110">
        <v>14561.686710000002</v>
      </c>
      <c r="H773" s="110">
        <v>14561.686710000002</v>
      </c>
      <c r="I773" s="80">
        <v>18935.060130000002</v>
      </c>
      <c r="J773" s="98"/>
      <c r="K773" s="14"/>
      <c r="L773" s="14"/>
      <c r="M773" s="14"/>
    </row>
    <row r="774" spans="1:13" ht="60" x14ac:dyDescent="0.25">
      <c r="A774" s="116" t="s">
        <v>1026</v>
      </c>
      <c r="B774" s="123"/>
      <c r="C774" s="116" t="s">
        <v>191</v>
      </c>
      <c r="D774" s="107" t="s">
        <v>1855</v>
      </c>
      <c r="E774" s="107" t="s">
        <v>2325</v>
      </c>
      <c r="F774" s="107" t="s">
        <v>80</v>
      </c>
      <c r="G774" s="19">
        <v>15</v>
      </c>
      <c r="H774" s="19">
        <v>15</v>
      </c>
      <c r="I774" s="73">
        <v>23</v>
      </c>
      <c r="J774" s="98"/>
      <c r="K774" s="14"/>
      <c r="L774" s="14"/>
      <c r="M774" s="14"/>
    </row>
    <row r="775" spans="1:13" ht="60" x14ac:dyDescent="0.25">
      <c r="A775" s="117"/>
      <c r="B775" s="123"/>
      <c r="C775" s="117"/>
      <c r="D775" s="107" t="s">
        <v>806</v>
      </c>
      <c r="E775" s="107" t="s">
        <v>16</v>
      </c>
      <c r="F775" s="107" t="s">
        <v>6</v>
      </c>
      <c r="G775" s="110">
        <v>2981.5743899999998</v>
      </c>
      <c r="H775" s="110">
        <v>2981.5743899999998</v>
      </c>
      <c r="I775" s="80">
        <v>4432.5469599999997</v>
      </c>
      <c r="J775" s="98"/>
      <c r="K775" s="14"/>
      <c r="L775" s="14"/>
      <c r="M775" s="14"/>
    </row>
    <row r="776" spans="1:13" ht="60" x14ac:dyDescent="0.25">
      <c r="A776" s="116" t="s">
        <v>1027</v>
      </c>
      <c r="B776" s="123"/>
      <c r="C776" s="116" t="s">
        <v>192</v>
      </c>
      <c r="D776" s="107" t="s">
        <v>1856</v>
      </c>
      <c r="E776" s="107" t="s">
        <v>2326</v>
      </c>
      <c r="F776" s="107" t="s">
        <v>80</v>
      </c>
      <c r="G776" s="19">
        <v>347</v>
      </c>
      <c r="H776" s="19">
        <v>347</v>
      </c>
      <c r="I776" s="73">
        <v>351</v>
      </c>
      <c r="J776" s="98"/>
      <c r="K776" s="14"/>
      <c r="L776" s="14"/>
      <c r="M776" s="14"/>
    </row>
    <row r="777" spans="1:13" ht="60" x14ac:dyDescent="0.25">
      <c r="A777" s="117"/>
      <c r="B777" s="123"/>
      <c r="C777" s="117"/>
      <c r="D777" s="107" t="s">
        <v>806</v>
      </c>
      <c r="E777" s="107" t="s">
        <v>16</v>
      </c>
      <c r="F777" s="107" t="s">
        <v>6</v>
      </c>
      <c r="G777" s="110">
        <f>63255.18972-2071.25</f>
        <v>61183.939720000002</v>
      </c>
      <c r="H777" s="110">
        <f>63255.18972-2071.25</f>
        <v>61183.939720000002</v>
      </c>
      <c r="I777" s="80">
        <f>63051.93812-1206.46</f>
        <v>61845.47812</v>
      </c>
      <c r="J777" s="98"/>
      <c r="K777" s="14"/>
      <c r="L777" s="14"/>
      <c r="M777" s="14"/>
    </row>
    <row r="778" spans="1:13" ht="60" x14ac:dyDescent="0.25">
      <c r="A778" s="116" t="s">
        <v>1028</v>
      </c>
      <c r="B778" s="123"/>
      <c r="C778" s="116" t="s">
        <v>193</v>
      </c>
      <c r="D778" s="107" t="s">
        <v>1857</v>
      </c>
      <c r="E778" s="107" t="s">
        <v>2327</v>
      </c>
      <c r="F778" s="107" t="s">
        <v>80</v>
      </c>
      <c r="G778" s="19">
        <v>692</v>
      </c>
      <c r="H778" s="19">
        <v>692</v>
      </c>
      <c r="I778" s="73">
        <v>674</v>
      </c>
      <c r="J778" s="98"/>
      <c r="K778" s="14"/>
      <c r="L778" s="14"/>
      <c r="M778" s="14"/>
    </row>
    <row r="779" spans="1:13" ht="60" x14ac:dyDescent="0.25">
      <c r="A779" s="117"/>
      <c r="B779" s="123"/>
      <c r="C779" s="117"/>
      <c r="D779" s="107" t="s">
        <v>806</v>
      </c>
      <c r="E779" s="107" t="s">
        <v>16</v>
      </c>
      <c r="F779" s="107" t="s">
        <v>6</v>
      </c>
      <c r="G779" s="110">
        <v>115644.19078</v>
      </c>
      <c r="H779" s="110">
        <v>115644.19078</v>
      </c>
      <c r="I779" s="80">
        <v>114999.01403999999</v>
      </c>
      <c r="J779" s="98"/>
      <c r="K779" s="14"/>
      <c r="L779" s="14"/>
      <c r="M779" s="14"/>
    </row>
    <row r="780" spans="1:13" ht="102.75" customHeight="1" x14ac:dyDescent="0.25">
      <c r="A780" s="116" t="s">
        <v>1029</v>
      </c>
      <c r="B780" s="123"/>
      <c r="C780" s="116" t="s">
        <v>193</v>
      </c>
      <c r="D780" s="107" t="s">
        <v>1858</v>
      </c>
      <c r="E780" s="107" t="s">
        <v>2328</v>
      </c>
      <c r="F780" s="107" t="s">
        <v>80</v>
      </c>
      <c r="G780" s="19">
        <v>610</v>
      </c>
      <c r="H780" s="19">
        <v>610</v>
      </c>
      <c r="I780" s="73">
        <v>531</v>
      </c>
      <c r="J780" s="98"/>
      <c r="K780" s="14"/>
      <c r="L780" s="14"/>
      <c r="M780" s="14"/>
    </row>
    <row r="781" spans="1:13" ht="60" x14ac:dyDescent="0.25">
      <c r="A781" s="117"/>
      <c r="B781" s="123"/>
      <c r="C781" s="117"/>
      <c r="D781" s="107" t="s">
        <v>806</v>
      </c>
      <c r="E781" s="107" t="s">
        <v>16</v>
      </c>
      <c r="F781" s="107" t="s">
        <v>6</v>
      </c>
      <c r="G781" s="110">
        <v>62215.497609999999</v>
      </c>
      <c r="H781" s="110">
        <v>62215.497609999999</v>
      </c>
      <c r="I781" s="80">
        <v>56544.444520000005</v>
      </c>
      <c r="J781" s="98"/>
      <c r="K781" s="14"/>
      <c r="L781" s="14"/>
      <c r="M781" s="14"/>
    </row>
    <row r="782" spans="1:13" ht="60" x14ac:dyDescent="0.25">
      <c r="A782" s="116" t="s">
        <v>1030</v>
      </c>
      <c r="B782" s="123"/>
      <c r="C782" s="116" t="s">
        <v>194</v>
      </c>
      <c r="D782" s="107" t="s">
        <v>1859</v>
      </c>
      <c r="E782" s="107" t="s">
        <v>807</v>
      </c>
      <c r="F782" s="107" t="s">
        <v>80</v>
      </c>
      <c r="G782" s="19">
        <v>1433</v>
      </c>
      <c r="H782" s="19">
        <v>1433</v>
      </c>
      <c r="I782" s="73">
        <v>1422</v>
      </c>
      <c r="J782" s="98"/>
      <c r="K782" s="14"/>
      <c r="L782" s="14"/>
      <c r="M782" s="14"/>
    </row>
    <row r="783" spans="1:13" ht="60" x14ac:dyDescent="0.25">
      <c r="A783" s="117"/>
      <c r="B783" s="123"/>
      <c r="C783" s="117"/>
      <c r="D783" s="107" t="s">
        <v>806</v>
      </c>
      <c r="E783" s="107" t="s">
        <v>16</v>
      </c>
      <c r="F783" s="107" t="s">
        <v>6</v>
      </c>
      <c r="G783" s="110">
        <v>31432.182250000002</v>
      </c>
      <c r="H783" s="110">
        <v>31432.182250000002</v>
      </c>
      <c r="I783" s="80">
        <v>30917.895509999998</v>
      </c>
      <c r="J783" s="98"/>
      <c r="K783" s="14"/>
      <c r="L783" s="14"/>
      <c r="M783" s="14"/>
    </row>
    <row r="784" spans="1:13" ht="60" x14ac:dyDescent="0.25">
      <c r="A784" s="116" t="s">
        <v>1031</v>
      </c>
      <c r="B784" s="123"/>
      <c r="C784" s="116" t="s">
        <v>194</v>
      </c>
      <c r="D784" s="107" t="s">
        <v>1860</v>
      </c>
      <c r="E784" s="107" t="s">
        <v>808</v>
      </c>
      <c r="F784" s="107" t="s">
        <v>80</v>
      </c>
      <c r="G784" s="19">
        <v>145</v>
      </c>
      <c r="H784" s="19">
        <v>145</v>
      </c>
      <c r="I784" s="73">
        <v>131</v>
      </c>
      <c r="J784" s="98"/>
      <c r="K784" s="14"/>
      <c r="L784" s="14"/>
      <c r="M784" s="14"/>
    </row>
    <row r="785" spans="1:13" ht="60" x14ac:dyDescent="0.25">
      <c r="A785" s="117"/>
      <c r="B785" s="123"/>
      <c r="C785" s="117"/>
      <c r="D785" s="107" t="s">
        <v>806</v>
      </c>
      <c r="E785" s="107" t="s">
        <v>16</v>
      </c>
      <c r="F785" s="107" t="s">
        <v>6</v>
      </c>
      <c r="G785" s="110">
        <v>2448.6149999999998</v>
      </c>
      <c r="H785" s="110">
        <v>2448.6149999999998</v>
      </c>
      <c r="I785" s="80">
        <v>2212.1970000000001</v>
      </c>
      <c r="J785" s="98"/>
      <c r="K785" s="14"/>
      <c r="L785" s="14"/>
      <c r="M785" s="14"/>
    </row>
    <row r="786" spans="1:13" ht="60" x14ac:dyDescent="0.25">
      <c r="A786" s="116" t="s">
        <v>1032</v>
      </c>
      <c r="B786" s="123"/>
      <c r="C786" s="116" t="s">
        <v>195</v>
      </c>
      <c r="D786" s="107" t="s">
        <v>1861</v>
      </c>
      <c r="E786" s="107" t="s">
        <v>2329</v>
      </c>
      <c r="F786" s="107" t="s">
        <v>80</v>
      </c>
      <c r="G786" s="19">
        <v>521</v>
      </c>
      <c r="H786" s="19">
        <v>521</v>
      </c>
      <c r="I786" s="73">
        <v>513</v>
      </c>
      <c r="J786" s="98"/>
      <c r="K786" s="14"/>
      <c r="L786" s="14"/>
      <c r="M786" s="14"/>
    </row>
    <row r="787" spans="1:13" ht="60" x14ac:dyDescent="0.25">
      <c r="A787" s="117"/>
      <c r="B787" s="123"/>
      <c r="C787" s="117"/>
      <c r="D787" s="107" t="s">
        <v>806</v>
      </c>
      <c r="E787" s="107" t="s">
        <v>16</v>
      </c>
      <c r="F787" s="107" t="s">
        <v>6</v>
      </c>
      <c r="G787" s="110">
        <v>20800</v>
      </c>
      <c r="H787" s="110">
        <v>21140.004240000002</v>
      </c>
      <c r="I787" s="80">
        <v>20855.635020468748</v>
      </c>
      <c r="J787" s="98"/>
      <c r="K787" s="14"/>
      <c r="L787" s="14"/>
      <c r="M787" s="14"/>
    </row>
    <row r="788" spans="1:13" ht="60" x14ac:dyDescent="0.25">
      <c r="A788" s="116" t="s">
        <v>1033</v>
      </c>
      <c r="B788" s="123"/>
      <c r="C788" s="116" t="s">
        <v>195</v>
      </c>
      <c r="D788" s="107" t="s">
        <v>2330</v>
      </c>
      <c r="E788" s="107" t="s">
        <v>224</v>
      </c>
      <c r="F788" s="107" t="s">
        <v>80</v>
      </c>
      <c r="G788" s="19">
        <v>375</v>
      </c>
      <c r="H788" s="19">
        <v>375</v>
      </c>
      <c r="I788" s="73">
        <v>364</v>
      </c>
      <c r="J788" s="98"/>
      <c r="K788" s="14"/>
      <c r="L788" s="14"/>
      <c r="M788" s="14"/>
    </row>
    <row r="789" spans="1:13" ht="60" x14ac:dyDescent="0.25">
      <c r="A789" s="117"/>
      <c r="B789" s="123"/>
      <c r="C789" s="117"/>
      <c r="D789" s="107" t="s">
        <v>806</v>
      </c>
      <c r="E789" s="107" t="s">
        <v>16</v>
      </c>
      <c r="F789" s="107" t="s">
        <v>6</v>
      </c>
      <c r="G789" s="110">
        <f>25694.80944-2000</f>
        <v>23694.809440000001</v>
      </c>
      <c r="H789" s="110">
        <f>25694.80944-2000</f>
        <v>23694.809440000001</v>
      </c>
      <c r="I789" s="80">
        <f>25334.33431-1500</f>
        <v>23834.334309999998</v>
      </c>
      <c r="J789" s="98"/>
      <c r="K789" s="14"/>
      <c r="L789" s="14"/>
      <c r="M789" s="14"/>
    </row>
    <row r="790" spans="1:13" ht="105" x14ac:dyDescent="0.25">
      <c r="A790" s="116" t="s">
        <v>1034</v>
      </c>
      <c r="B790" s="123"/>
      <c r="C790" s="116" t="s">
        <v>196</v>
      </c>
      <c r="D790" s="107" t="s">
        <v>2331</v>
      </c>
      <c r="E790" s="107" t="s">
        <v>2332</v>
      </c>
      <c r="F790" s="107" t="s">
        <v>80</v>
      </c>
      <c r="G790" s="19">
        <v>13</v>
      </c>
      <c r="H790" s="19">
        <v>13</v>
      </c>
      <c r="I790" s="73">
        <v>13</v>
      </c>
      <c r="J790" s="98"/>
      <c r="K790" s="14"/>
      <c r="L790" s="14"/>
      <c r="M790" s="14"/>
    </row>
    <row r="791" spans="1:13" ht="60" x14ac:dyDescent="0.25">
      <c r="A791" s="117"/>
      <c r="B791" s="123"/>
      <c r="C791" s="117"/>
      <c r="D791" s="107" t="s">
        <v>806</v>
      </c>
      <c r="E791" s="107" t="s">
        <v>16</v>
      </c>
      <c r="F791" s="107" t="s">
        <v>6</v>
      </c>
      <c r="G791" s="110">
        <v>3118.73128</v>
      </c>
      <c r="H791" s="110">
        <v>3118.73128</v>
      </c>
      <c r="I791" s="80">
        <v>3105.62039</v>
      </c>
      <c r="J791" s="98"/>
      <c r="K791" s="14"/>
      <c r="L791" s="14"/>
      <c r="M791" s="14"/>
    </row>
    <row r="792" spans="1:13" ht="92.25" customHeight="1" x14ac:dyDescent="0.25">
      <c r="A792" s="116" t="s">
        <v>1035</v>
      </c>
      <c r="B792" s="123"/>
      <c r="C792" s="116" t="s">
        <v>196</v>
      </c>
      <c r="D792" s="107" t="s">
        <v>1862</v>
      </c>
      <c r="E792" s="107" t="s">
        <v>2333</v>
      </c>
      <c r="F792" s="107" t="s">
        <v>80</v>
      </c>
      <c r="G792" s="19">
        <v>75</v>
      </c>
      <c r="H792" s="19">
        <v>75</v>
      </c>
      <c r="I792" s="73">
        <v>75</v>
      </c>
      <c r="J792" s="98"/>
      <c r="K792" s="14"/>
      <c r="L792" s="14"/>
      <c r="M792" s="14"/>
    </row>
    <row r="793" spans="1:13" ht="60" x14ac:dyDescent="0.25">
      <c r="A793" s="117"/>
      <c r="B793" s="123"/>
      <c r="C793" s="117"/>
      <c r="D793" s="107" t="s">
        <v>806</v>
      </c>
      <c r="E793" s="107" t="s">
        <v>16</v>
      </c>
      <c r="F793" s="107" t="s">
        <v>6</v>
      </c>
      <c r="G793" s="110">
        <v>13121.497079999999</v>
      </c>
      <c r="H793" s="110">
        <v>13121.497079999999</v>
      </c>
      <c r="I793" s="80">
        <v>13336.239680000001</v>
      </c>
      <c r="J793" s="98"/>
      <c r="K793" s="14"/>
      <c r="L793" s="14"/>
      <c r="M793" s="14"/>
    </row>
    <row r="794" spans="1:13" ht="60" x14ac:dyDescent="0.25">
      <c r="A794" s="116" t="s">
        <v>1036</v>
      </c>
      <c r="B794" s="123"/>
      <c r="C794" s="116" t="s">
        <v>197</v>
      </c>
      <c r="D794" s="107" t="s">
        <v>1863</v>
      </c>
      <c r="E794" s="107" t="s">
        <v>2334</v>
      </c>
      <c r="F794" s="107" t="s">
        <v>54</v>
      </c>
      <c r="G794" s="110">
        <v>440</v>
      </c>
      <c r="H794" s="110">
        <v>440</v>
      </c>
      <c r="I794" s="80">
        <v>520</v>
      </c>
      <c r="J794" s="98"/>
      <c r="K794" s="14"/>
      <c r="L794" s="14"/>
      <c r="M794" s="14"/>
    </row>
    <row r="795" spans="1:13" ht="60" x14ac:dyDescent="0.25">
      <c r="A795" s="117"/>
      <c r="B795" s="123"/>
      <c r="C795" s="117"/>
      <c r="D795" s="107" t="s">
        <v>809</v>
      </c>
      <c r="E795" s="107" t="s">
        <v>16</v>
      </c>
      <c r="F795" s="107" t="s">
        <v>6</v>
      </c>
      <c r="G795" s="110">
        <v>36.96</v>
      </c>
      <c r="H795" s="110">
        <v>36.96</v>
      </c>
      <c r="I795" s="80">
        <v>43.68</v>
      </c>
      <c r="J795" s="98"/>
      <c r="K795" s="14"/>
      <c r="L795" s="14"/>
      <c r="M795" s="14"/>
    </row>
    <row r="796" spans="1:13" ht="60" x14ac:dyDescent="0.25">
      <c r="A796" s="116" t="s">
        <v>1037</v>
      </c>
      <c r="B796" s="123"/>
      <c r="C796" s="116" t="s">
        <v>197</v>
      </c>
      <c r="D796" s="107" t="s">
        <v>1864</v>
      </c>
      <c r="E796" s="107" t="s">
        <v>2335</v>
      </c>
      <c r="F796" s="107" t="s">
        <v>54</v>
      </c>
      <c r="G796" s="110">
        <v>196363</v>
      </c>
      <c r="H796" s="110">
        <v>196363</v>
      </c>
      <c r="I796" s="80">
        <v>193371</v>
      </c>
      <c r="J796" s="98" t="s">
        <v>811</v>
      </c>
      <c r="K796" s="14"/>
      <c r="L796" s="14"/>
      <c r="M796" s="14"/>
    </row>
    <row r="797" spans="1:13" ht="60" x14ac:dyDescent="0.25">
      <c r="A797" s="117"/>
      <c r="B797" s="123"/>
      <c r="C797" s="117"/>
      <c r="D797" s="107" t="s">
        <v>809</v>
      </c>
      <c r="E797" s="107" t="s">
        <v>16</v>
      </c>
      <c r="F797" s="107" t="s">
        <v>6</v>
      </c>
      <c r="G797" s="110">
        <v>16364.892410000002</v>
      </c>
      <c r="H797" s="110">
        <v>16364.892410000002</v>
      </c>
      <c r="I797" s="80">
        <v>16115.539140000001</v>
      </c>
      <c r="J797" s="98"/>
      <c r="K797" s="14"/>
      <c r="L797" s="14"/>
      <c r="M797" s="14"/>
    </row>
    <row r="798" spans="1:13" ht="60" x14ac:dyDescent="0.25">
      <c r="A798" s="116" t="s">
        <v>1038</v>
      </c>
      <c r="B798" s="123"/>
      <c r="C798" s="116" t="s">
        <v>197</v>
      </c>
      <c r="D798" s="107" t="s">
        <v>1864</v>
      </c>
      <c r="E798" s="107" t="s">
        <v>2335</v>
      </c>
      <c r="F798" s="107" t="s">
        <v>54</v>
      </c>
      <c r="G798" s="110">
        <v>4142</v>
      </c>
      <c r="H798" s="110">
        <v>4142</v>
      </c>
      <c r="I798" s="80">
        <v>4018</v>
      </c>
      <c r="J798" s="98"/>
      <c r="K798" s="14"/>
      <c r="L798" s="14"/>
      <c r="M798" s="14"/>
    </row>
    <row r="799" spans="1:13" ht="60" x14ac:dyDescent="0.25">
      <c r="A799" s="117"/>
      <c r="B799" s="123"/>
      <c r="C799" s="117"/>
      <c r="D799" s="107" t="s">
        <v>806</v>
      </c>
      <c r="E799" s="107" t="s">
        <v>16</v>
      </c>
      <c r="F799" s="107" t="s">
        <v>6</v>
      </c>
      <c r="G799" s="110">
        <v>345.26928599999997</v>
      </c>
      <c r="H799" s="110">
        <v>345.26928599999997</v>
      </c>
      <c r="I799" s="80">
        <v>334.90180000000004</v>
      </c>
      <c r="J799" s="98"/>
      <c r="K799" s="14"/>
      <c r="L799" s="14"/>
      <c r="M799" s="14"/>
    </row>
    <row r="800" spans="1:13" ht="60" x14ac:dyDescent="0.25">
      <c r="A800" s="116" t="s">
        <v>1039</v>
      </c>
      <c r="B800" s="123"/>
      <c r="C800" s="116" t="s">
        <v>200</v>
      </c>
      <c r="D800" s="107" t="s">
        <v>2336</v>
      </c>
      <c r="E800" s="107" t="s">
        <v>812</v>
      </c>
      <c r="F800" s="107" t="s">
        <v>80</v>
      </c>
      <c r="G800" s="19">
        <v>959</v>
      </c>
      <c r="H800" s="19">
        <v>959</v>
      </c>
      <c r="I800" s="73">
        <v>959</v>
      </c>
      <c r="J800" s="98"/>
      <c r="K800" s="14"/>
      <c r="L800" s="14"/>
      <c r="M800" s="14"/>
    </row>
    <row r="801" spans="1:13" ht="60" x14ac:dyDescent="0.25">
      <c r="A801" s="117"/>
      <c r="B801" s="123"/>
      <c r="C801" s="117"/>
      <c r="D801" s="107" t="s">
        <v>809</v>
      </c>
      <c r="E801" s="107" t="s">
        <v>16</v>
      </c>
      <c r="F801" s="107" t="s">
        <v>6</v>
      </c>
      <c r="G801" s="110">
        <v>16700</v>
      </c>
      <c r="H801" s="110">
        <v>17577.854509999997</v>
      </c>
      <c r="I801" s="80">
        <v>17538.59546</v>
      </c>
      <c r="J801" s="98"/>
      <c r="K801" s="14"/>
      <c r="L801" s="14"/>
      <c r="M801" s="14"/>
    </row>
    <row r="802" spans="1:13" ht="75.75" customHeight="1" x14ac:dyDescent="0.25">
      <c r="A802" s="116" t="s">
        <v>1040</v>
      </c>
      <c r="B802" s="123"/>
      <c r="C802" s="116" t="s">
        <v>2339</v>
      </c>
      <c r="D802" s="107" t="s">
        <v>2337</v>
      </c>
      <c r="E802" s="107" t="s">
        <v>2338</v>
      </c>
      <c r="F802" s="107" t="s">
        <v>80</v>
      </c>
      <c r="G802" s="19">
        <v>500</v>
      </c>
      <c r="H802" s="19">
        <v>500</v>
      </c>
      <c r="I802" s="73">
        <v>500</v>
      </c>
      <c r="J802" s="98"/>
      <c r="K802" s="14"/>
      <c r="L802" s="14"/>
      <c r="M802" s="14"/>
    </row>
    <row r="803" spans="1:13" ht="60" x14ac:dyDescent="0.25">
      <c r="A803" s="117"/>
      <c r="B803" s="123"/>
      <c r="C803" s="117"/>
      <c r="D803" s="107" t="s">
        <v>806</v>
      </c>
      <c r="E803" s="107" t="s">
        <v>16</v>
      </c>
      <c r="F803" s="107" t="s">
        <v>6</v>
      </c>
      <c r="G803" s="110">
        <v>1356.34</v>
      </c>
      <c r="H803" s="110">
        <v>1356.34</v>
      </c>
      <c r="I803" s="80">
        <v>1356.34</v>
      </c>
      <c r="J803" s="98"/>
      <c r="K803" s="14"/>
      <c r="L803" s="14"/>
      <c r="M803" s="14"/>
    </row>
    <row r="804" spans="1:13" ht="60" x14ac:dyDescent="0.25">
      <c r="A804" s="116" t="s">
        <v>1041</v>
      </c>
      <c r="B804" s="123"/>
      <c r="C804" s="116" t="s">
        <v>200</v>
      </c>
      <c r="D804" s="107" t="s">
        <v>2336</v>
      </c>
      <c r="E804" s="107" t="s">
        <v>812</v>
      </c>
      <c r="F804" s="107" t="s">
        <v>80</v>
      </c>
      <c r="G804" s="19">
        <v>100</v>
      </c>
      <c r="H804" s="19">
        <v>100</v>
      </c>
      <c r="I804" s="73">
        <v>100</v>
      </c>
      <c r="J804" s="98"/>
      <c r="K804" s="14"/>
      <c r="L804" s="14"/>
      <c r="M804" s="14"/>
    </row>
    <row r="805" spans="1:13" ht="60" x14ac:dyDescent="0.25">
      <c r="A805" s="117"/>
      <c r="B805" s="123"/>
      <c r="C805" s="117"/>
      <c r="D805" s="107" t="s">
        <v>809</v>
      </c>
      <c r="E805" s="107" t="s">
        <v>16</v>
      </c>
      <c r="F805" s="107" t="s">
        <v>6</v>
      </c>
      <c r="G805" s="110">
        <v>781.87599999999998</v>
      </c>
      <c r="H805" s="110">
        <v>781.87599999999998</v>
      </c>
      <c r="I805" s="80">
        <v>781.87599999999998</v>
      </c>
      <c r="J805" s="98"/>
      <c r="K805" s="14"/>
      <c r="L805" s="14"/>
      <c r="M805" s="14"/>
    </row>
    <row r="806" spans="1:13" ht="60" x14ac:dyDescent="0.25">
      <c r="A806" s="116" t="s">
        <v>1042</v>
      </c>
      <c r="B806" s="123"/>
      <c r="C806" s="116" t="s">
        <v>198</v>
      </c>
      <c r="D806" s="107" t="s">
        <v>1849</v>
      </c>
      <c r="E806" s="107" t="s">
        <v>2340</v>
      </c>
      <c r="F806" s="107" t="s">
        <v>80</v>
      </c>
      <c r="G806" s="19">
        <v>120</v>
      </c>
      <c r="H806" s="19">
        <v>120</v>
      </c>
      <c r="I806" s="73">
        <v>122</v>
      </c>
      <c r="J806" s="98"/>
      <c r="K806" s="14"/>
      <c r="L806" s="14"/>
      <c r="M806" s="14"/>
    </row>
    <row r="807" spans="1:13" ht="60" x14ac:dyDescent="0.25">
      <c r="A807" s="117"/>
      <c r="B807" s="123"/>
      <c r="C807" s="117"/>
      <c r="D807" s="107" t="s">
        <v>806</v>
      </c>
      <c r="E807" s="107" t="s">
        <v>16</v>
      </c>
      <c r="F807" s="107" t="s">
        <v>6</v>
      </c>
      <c r="G807" s="110">
        <v>2604.96</v>
      </c>
      <c r="H807" s="110">
        <v>2604.96</v>
      </c>
      <c r="I807" s="80">
        <v>2648.3760000000002</v>
      </c>
      <c r="J807" s="98"/>
      <c r="K807" s="14"/>
      <c r="L807" s="14"/>
      <c r="M807" s="14"/>
    </row>
    <row r="808" spans="1:13" ht="60" x14ac:dyDescent="0.25">
      <c r="A808" s="116" t="s">
        <v>1043</v>
      </c>
      <c r="B808" s="123"/>
      <c r="C808" s="116" t="s">
        <v>199</v>
      </c>
      <c r="D808" s="107" t="s">
        <v>1864</v>
      </c>
      <c r="E808" s="107" t="s">
        <v>828</v>
      </c>
      <c r="F808" s="107" t="s">
        <v>54</v>
      </c>
      <c r="G808" s="110">
        <v>123455</v>
      </c>
      <c r="H808" s="110">
        <v>123455</v>
      </c>
      <c r="I808" s="80">
        <v>123455</v>
      </c>
      <c r="J808" s="98"/>
      <c r="K808" s="14"/>
      <c r="L808" s="14"/>
      <c r="M808" s="14"/>
    </row>
    <row r="809" spans="1:13" ht="60" x14ac:dyDescent="0.25">
      <c r="A809" s="117"/>
      <c r="B809" s="123"/>
      <c r="C809" s="117"/>
      <c r="D809" s="107" t="s">
        <v>806</v>
      </c>
      <c r="E809" s="107" t="s">
        <v>16</v>
      </c>
      <c r="F809" s="107" t="s">
        <v>6</v>
      </c>
      <c r="G809" s="110">
        <v>10288.739700000002</v>
      </c>
      <c r="H809" s="110">
        <v>10288.739700000002</v>
      </c>
      <c r="I809" s="80">
        <v>10288.739700000002</v>
      </c>
      <c r="J809" s="98"/>
      <c r="K809" s="14"/>
      <c r="L809" s="14"/>
      <c r="M809" s="14"/>
    </row>
    <row r="810" spans="1:13" ht="90" x14ac:dyDescent="0.25">
      <c r="A810" s="116" t="s">
        <v>1044</v>
      </c>
      <c r="B810" s="123"/>
      <c r="C810" s="116" t="s">
        <v>193</v>
      </c>
      <c r="D810" s="107" t="s">
        <v>1868</v>
      </c>
      <c r="E810" s="107" t="s">
        <v>2341</v>
      </c>
      <c r="F810" s="107" t="s">
        <v>80</v>
      </c>
      <c r="G810" s="19">
        <v>75</v>
      </c>
      <c r="H810" s="19">
        <v>75</v>
      </c>
      <c r="I810" s="73">
        <v>76</v>
      </c>
      <c r="J810" s="98"/>
      <c r="K810" s="14"/>
      <c r="L810" s="14"/>
      <c r="M810" s="14"/>
    </row>
    <row r="811" spans="1:13" ht="60" x14ac:dyDescent="0.25">
      <c r="A811" s="117"/>
      <c r="B811" s="123"/>
      <c r="C811" s="117"/>
      <c r="D811" s="107" t="s">
        <v>806</v>
      </c>
      <c r="E811" s="107" t="s">
        <v>16</v>
      </c>
      <c r="F811" s="107" t="s">
        <v>6</v>
      </c>
      <c r="G811" s="110">
        <v>910.73145000000011</v>
      </c>
      <c r="H811" s="110">
        <v>910.73145000000011</v>
      </c>
      <c r="I811" s="80">
        <v>769.14879000000008</v>
      </c>
      <c r="J811" s="98"/>
      <c r="K811" s="14"/>
      <c r="L811" s="14"/>
      <c r="M811" s="14"/>
    </row>
    <row r="812" spans="1:13" ht="60" x14ac:dyDescent="0.25">
      <c r="A812" s="116" t="s">
        <v>1045</v>
      </c>
      <c r="B812" s="123"/>
      <c r="C812" s="116" t="s">
        <v>200</v>
      </c>
      <c r="D812" s="107" t="s">
        <v>2336</v>
      </c>
      <c r="E812" s="107" t="s">
        <v>812</v>
      </c>
      <c r="F812" s="107" t="s">
        <v>80</v>
      </c>
      <c r="G812" s="19">
        <v>465</v>
      </c>
      <c r="H812" s="19">
        <v>465</v>
      </c>
      <c r="I812" s="73">
        <v>535</v>
      </c>
      <c r="J812" s="98"/>
      <c r="K812" s="14"/>
      <c r="L812" s="14"/>
      <c r="M812" s="14"/>
    </row>
    <row r="813" spans="1:13" ht="60" x14ac:dyDescent="0.25">
      <c r="A813" s="117"/>
      <c r="B813" s="123"/>
      <c r="C813" s="117"/>
      <c r="D813" s="107" t="s">
        <v>806</v>
      </c>
      <c r="E813" s="107" t="s">
        <v>16</v>
      </c>
      <c r="F813" s="107" t="s">
        <v>6</v>
      </c>
      <c r="G813" s="110">
        <v>48282.47696</v>
      </c>
      <c r="H813" s="110">
        <v>48282.47696</v>
      </c>
      <c r="I813" s="80">
        <v>53850.434789999999</v>
      </c>
      <c r="J813" s="98"/>
      <c r="K813" s="14"/>
      <c r="L813" s="14"/>
      <c r="M813" s="14"/>
    </row>
    <row r="814" spans="1:13" ht="66.75" customHeight="1" x14ac:dyDescent="0.25">
      <c r="A814" s="116" t="s">
        <v>1046</v>
      </c>
      <c r="B814" s="123"/>
      <c r="C814" s="116" t="s">
        <v>201</v>
      </c>
      <c r="D814" s="107" t="s">
        <v>1869</v>
      </c>
      <c r="E814" s="107" t="s">
        <v>2342</v>
      </c>
      <c r="F814" s="107" t="s">
        <v>80</v>
      </c>
      <c r="G814" s="19">
        <v>14</v>
      </c>
      <c r="H814" s="19">
        <v>14</v>
      </c>
      <c r="I814" s="73">
        <v>12</v>
      </c>
      <c r="J814" s="98"/>
      <c r="K814" s="14"/>
      <c r="L814" s="14"/>
      <c r="M814" s="14"/>
    </row>
    <row r="815" spans="1:13" ht="60" x14ac:dyDescent="0.25">
      <c r="A815" s="117"/>
      <c r="B815" s="123"/>
      <c r="C815" s="117"/>
      <c r="D815" s="107" t="s">
        <v>806</v>
      </c>
      <c r="E815" s="107" t="s">
        <v>16</v>
      </c>
      <c r="F815" s="107" t="s">
        <v>6</v>
      </c>
      <c r="G815" s="110">
        <f>2730.226-350.61</f>
        <v>2379.616</v>
      </c>
      <c r="H815" s="110">
        <v>2730.2260000000001</v>
      </c>
      <c r="I815" s="80">
        <v>2264.9513199999997</v>
      </c>
      <c r="J815" s="98"/>
      <c r="K815" s="14"/>
      <c r="L815" s="14"/>
      <c r="M815" s="14"/>
    </row>
    <row r="816" spans="1:13" ht="60" x14ac:dyDescent="0.25">
      <c r="A816" s="116" t="s">
        <v>1047</v>
      </c>
      <c r="B816" s="123"/>
      <c r="C816" s="116" t="s">
        <v>201</v>
      </c>
      <c r="D816" s="107" t="s">
        <v>1870</v>
      </c>
      <c r="E816" s="107" t="s">
        <v>812</v>
      </c>
      <c r="F816" s="107" t="s">
        <v>80</v>
      </c>
      <c r="G816" s="19">
        <v>208</v>
      </c>
      <c r="H816" s="19">
        <v>208</v>
      </c>
      <c r="I816" s="73">
        <v>195</v>
      </c>
      <c r="J816" s="98"/>
      <c r="K816" s="14"/>
      <c r="L816" s="14"/>
      <c r="M816" s="14"/>
    </row>
    <row r="817" spans="1:13" ht="60" x14ac:dyDescent="0.25">
      <c r="A817" s="117"/>
      <c r="B817" s="123"/>
      <c r="C817" s="117"/>
      <c r="D817" s="107" t="s">
        <v>806</v>
      </c>
      <c r="E817" s="107" t="s">
        <v>16</v>
      </c>
      <c r="F817" s="107" t="s">
        <v>6</v>
      </c>
      <c r="G817" s="110">
        <v>22844</v>
      </c>
      <c r="H817" s="110">
        <v>21344.03100000001</v>
      </c>
      <c r="I817" s="80">
        <v>22288.349389999999</v>
      </c>
      <c r="J817" s="98"/>
      <c r="K817" s="14"/>
      <c r="L817" s="14"/>
      <c r="M817" s="14"/>
    </row>
    <row r="818" spans="1:13" ht="75" x14ac:dyDescent="0.25">
      <c r="A818" s="116" t="s">
        <v>1048</v>
      </c>
      <c r="B818" s="123"/>
      <c r="C818" s="116" t="s">
        <v>814</v>
      </c>
      <c r="D818" s="107" t="s">
        <v>1871</v>
      </c>
      <c r="E818" s="107" t="s">
        <v>2343</v>
      </c>
      <c r="F818" s="107" t="s">
        <v>80</v>
      </c>
      <c r="G818" s="19">
        <v>1100</v>
      </c>
      <c r="H818" s="19">
        <v>1100</v>
      </c>
      <c r="I818" s="73">
        <v>1100</v>
      </c>
      <c r="J818" s="98"/>
      <c r="K818" s="14"/>
      <c r="L818" s="14"/>
      <c r="M818" s="14"/>
    </row>
    <row r="819" spans="1:13" ht="60" x14ac:dyDescent="0.25">
      <c r="A819" s="117"/>
      <c r="B819" s="123"/>
      <c r="C819" s="117"/>
      <c r="D819" s="107" t="s">
        <v>813</v>
      </c>
      <c r="E819" s="107" t="s">
        <v>16</v>
      </c>
      <c r="F819" s="107" t="s">
        <v>6</v>
      </c>
      <c r="G819" s="110">
        <v>2748.9549999999999</v>
      </c>
      <c r="H819" s="110">
        <v>2748.9549999999999</v>
      </c>
      <c r="I819" s="80">
        <v>2748.9549999999999</v>
      </c>
      <c r="J819" s="98"/>
      <c r="K819" s="14"/>
      <c r="L819" s="14"/>
      <c r="M819" s="14"/>
    </row>
    <row r="820" spans="1:13" ht="75" x14ac:dyDescent="0.25">
      <c r="A820" s="116" t="s">
        <v>1049</v>
      </c>
      <c r="B820" s="123"/>
      <c r="C820" s="116" t="s">
        <v>814</v>
      </c>
      <c r="D820" s="107" t="s">
        <v>1865</v>
      </c>
      <c r="E820" s="107" t="s">
        <v>2344</v>
      </c>
      <c r="F820" s="107" t="s">
        <v>80</v>
      </c>
      <c r="G820" s="19">
        <v>900</v>
      </c>
      <c r="H820" s="19">
        <v>900</v>
      </c>
      <c r="I820" s="73">
        <v>900</v>
      </c>
      <c r="J820" s="98"/>
      <c r="K820" s="14"/>
      <c r="L820" s="14"/>
      <c r="M820" s="14"/>
    </row>
    <row r="821" spans="1:13" ht="60" x14ac:dyDescent="0.25">
      <c r="A821" s="117"/>
      <c r="B821" s="123"/>
      <c r="C821" s="117"/>
      <c r="D821" s="107" t="s">
        <v>813</v>
      </c>
      <c r="E821" s="107" t="s">
        <v>16</v>
      </c>
      <c r="F821" s="107" t="s">
        <v>6</v>
      </c>
      <c r="G821" s="110">
        <v>2249.145</v>
      </c>
      <c r="H821" s="110">
        <v>2249.145</v>
      </c>
      <c r="I821" s="80">
        <v>2249.145</v>
      </c>
      <c r="J821" s="98"/>
      <c r="K821" s="14"/>
      <c r="L821" s="14"/>
      <c r="M821" s="14"/>
    </row>
    <row r="822" spans="1:13" ht="75" x14ac:dyDescent="0.25">
      <c r="A822" s="116" t="s">
        <v>1050</v>
      </c>
      <c r="B822" s="123"/>
      <c r="C822" s="116" t="s">
        <v>814</v>
      </c>
      <c r="D822" s="107" t="s">
        <v>1872</v>
      </c>
      <c r="E822" s="107" t="s">
        <v>2345</v>
      </c>
      <c r="F822" s="107" t="s">
        <v>80</v>
      </c>
      <c r="G822" s="19">
        <v>600</v>
      </c>
      <c r="H822" s="19">
        <v>600</v>
      </c>
      <c r="I822" s="73">
        <v>600</v>
      </c>
      <c r="J822" s="98"/>
      <c r="K822" s="14"/>
      <c r="L822" s="14"/>
      <c r="M822" s="14"/>
    </row>
    <row r="823" spans="1:13" ht="60" x14ac:dyDescent="0.25">
      <c r="A823" s="117"/>
      <c r="B823" s="123"/>
      <c r="C823" s="117"/>
      <c r="D823" s="107" t="s">
        <v>813</v>
      </c>
      <c r="E823" s="107" t="s">
        <v>16</v>
      </c>
      <c r="F823" s="107" t="s">
        <v>6</v>
      </c>
      <c r="G823" s="110">
        <v>1499.43</v>
      </c>
      <c r="H823" s="110">
        <v>1499.43</v>
      </c>
      <c r="I823" s="80">
        <v>1499.43</v>
      </c>
      <c r="J823" s="98"/>
      <c r="K823" s="14"/>
      <c r="L823" s="14"/>
      <c r="M823" s="14"/>
    </row>
    <row r="824" spans="1:13" ht="75" x14ac:dyDescent="0.25">
      <c r="A824" s="116" t="s">
        <v>1051</v>
      </c>
      <c r="B824" s="123"/>
      <c r="C824" s="116" t="s">
        <v>814</v>
      </c>
      <c r="D824" s="107" t="s">
        <v>1873</v>
      </c>
      <c r="E824" s="107" t="s">
        <v>2346</v>
      </c>
      <c r="F824" s="107" t="s">
        <v>80</v>
      </c>
      <c r="G824" s="19">
        <v>300</v>
      </c>
      <c r="H824" s="19">
        <v>300</v>
      </c>
      <c r="I824" s="73">
        <v>300</v>
      </c>
      <c r="J824" s="98"/>
      <c r="K824" s="14"/>
      <c r="L824" s="14"/>
      <c r="M824" s="14"/>
    </row>
    <row r="825" spans="1:13" ht="60" x14ac:dyDescent="0.25">
      <c r="A825" s="117"/>
      <c r="B825" s="123"/>
      <c r="C825" s="117"/>
      <c r="D825" s="107" t="s">
        <v>813</v>
      </c>
      <c r="E825" s="107" t="s">
        <v>16</v>
      </c>
      <c r="F825" s="107" t="s">
        <v>6</v>
      </c>
      <c r="G825" s="110">
        <v>749.71500000000003</v>
      </c>
      <c r="H825" s="110">
        <v>749.71500000000003</v>
      </c>
      <c r="I825" s="80">
        <v>749.71500000000003</v>
      </c>
      <c r="J825" s="98"/>
      <c r="K825" s="14"/>
      <c r="L825" s="14"/>
      <c r="M825" s="14"/>
    </row>
    <row r="826" spans="1:13" ht="120" x14ac:dyDescent="0.25">
      <c r="A826" s="116" t="s">
        <v>1052</v>
      </c>
      <c r="B826" s="123"/>
      <c r="C826" s="116" t="s">
        <v>815</v>
      </c>
      <c r="D826" s="107" t="s">
        <v>1874</v>
      </c>
      <c r="E826" s="107" t="s">
        <v>2348</v>
      </c>
      <c r="F826" s="107" t="s">
        <v>80</v>
      </c>
      <c r="G826" s="19">
        <v>50</v>
      </c>
      <c r="H826" s="19">
        <v>50</v>
      </c>
      <c r="I826" s="73">
        <v>50</v>
      </c>
      <c r="J826" s="98"/>
      <c r="K826" s="14"/>
      <c r="L826" s="14"/>
      <c r="M826" s="14"/>
    </row>
    <row r="827" spans="1:13" ht="60" x14ac:dyDescent="0.25">
      <c r="A827" s="117"/>
      <c r="B827" s="123"/>
      <c r="C827" s="117"/>
      <c r="D827" s="107" t="s">
        <v>813</v>
      </c>
      <c r="E827" s="107" t="s">
        <v>16</v>
      </c>
      <c r="F827" s="107" t="s">
        <v>6</v>
      </c>
      <c r="G827" s="110">
        <v>135.63399999999999</v>
      </c>
      <c r="H827" s="110">
        <v>135.63399999999999</v>
      </c>
      <c r="I827" s="80">
        <v>135.63399999999999</v>
      </c>
      <c r="J827" s="98"/>
      <c r="K827" s="14"/>
      <c r="L827" s="14"/>
      <c r="M827" s="14"/>
    </row>
    <row r="828" spans="1:13" ht="120" x14ac:dyDescent="0.25">
      <c r="A828" s="116" t="s">
        <v>1053</v>
      </c>
      <c r="B828" s="123"/>
      <c r="C828" s="116" t="s">
        <v>815</v>
      </c>
      <c r="D828" s="107" t="s">
        <v>1875</v>
      </c>
      <c r="E828" s="107" t="s">
        <v>2349</v>
      </c>
      <c r="F828" s="107" t="s">
        <v>80</v>
      </c>
      <c r="G828" s="19">
        <v>500</v>
      </c>
      <c r="H828" s="19">
        <v>500</v>
      </c>
      <c r="I828" s="73">
        <v>500</v>
      </c>
      <c r="J828" s="98"/>
      <c r="K828" s="14"/>
      <c r="L828" s="14"/>
      <c r="M828" s="14"/>
    </row>
    <row r="829" spans="1:13" ht="60" x14ac:dyDescent="0.25">
      <c r="A829" s="117"/>
      <c r="B829" s="123"/>
      <c r="C829" s="117"/>
      <c r="D829" s="107" t="s">
        <v>813</v>
      </c>
      <c r="E829" s="107" t="s">
        <v>16</v>
      </c>
      <c r="F829" s="107" t="s">
        <v>6</v>
      </c>
      <c r="G829" s="110">
        <v>1356.34</v>
      </c>
      <c r="H829" s="110">
        <v>1356.34</v>
      </c>
      <c r="I829" s="80">
        <v>1356.34</v>
      </c>
      <c r="J829" s="98"/>
      <c r="K829" s="14"/>
      <c r="L829" s="14"/>
      <c r="M829" s="14"/>
    </row>
    <row r="830" spans="1:13" ht="120" x14ac:dyDescent="0.25">
      <c r="A830" s="116" t="s">
        <v>1054</v>
      </c>
      <c r="B830" s="123"/>
      <c r="C830" s="116" t="s">
        <v>815</v>
      </c>
      <c r="D830" s="107" t="s">
        <v>1866</v>
      </c>
      <c r="E830" s="107" t="s">
        <v>2351</v>
      </c>
      <c r="F830" s="107" t="s">
        <v>80</v>
      </c>
      <c r="G830" s="19">
        <v>500</v>
      </c>
      <c r="H830" s="19">
        <v>500</v>
      </c>
      <c r="I830" s="73">
        <v>500</v>
      </c>
      <c r="J830" s="98"/>
      <c r="K830" s="14"/>
      <c r="L830" s="14"/>
      <c r="M830" s="14"/>
    </row>
    <row r="831" spans="1:13" ht="60" x14ac:dyDescent="0.25">
      <c r="A831" s="117"/>
      <c r="B831" s="123"/>
      <c r="C831" s="117"/>
      <c r="D831" s="107" t="s">
        <v>813</v>
      </c>
      <c r="E831" s="107" t="s">
        <v>16</v>
      </c>
      <c r="F831" s="107" t="s">
        <v>6</v>
      </c>
      <c r="G831" s="110">
        <v>1356.34</v>
      </c>
      <c r="H831" s="110">
        <v>1356.34</v>
      </c>
      <c r="I831" s="80">
        <v>1356.34</v>
      </c>
      <c r="J831" s="98"/>
      <c r="K831" s="14"/>
      <c r="L831" s="14"/>
      <c r="M831" s="14"/>
    </row>
    <row r="832" spans="1:13" ht="120" x14ac:dyDescent="0.25">
      <c r="A832" s="116" t="s">
        <v>1055</v>
      </c>
      <c r="B832" s="123"/>
      <c r="C832" s="116" t="s">
        <v>815</v>
      </c>
      <c r="D832" s="107" t="s">
        <v>1876</v>
      </c>
      <c r="E832" s="107" t="s">
        <v>2353</v>
      </c>
      <c r="F832" s="107" t="s">
        <v>80</v>
      </c>
      <c r="G832" s="19">
        <v>100</v>
      </c>
      <c r="H832" s="19">
        <v>100</v>
      </c>
      <c r="I832" s="73">
        <v>100</v>
      </c>
      <c r="J832" s="98"/>
      <c r="K832" s="14"/>
      <c r="L832" s="14"/>
      <c r="M832" s="14"/>
    </row>
    <row r="833" spans="1:13" ht="60" x14ac:dyDescent="0.25">
      <c r="A833" s="117"/>
      <c r="B833" s="123"/>
      <c r="C833" s="117"/>
      <c r="D833" s="107" t="s">
        <v>813</v>
      </c>
      <c r="E833" s="107" t="s">
        <v>16</v>
      </c>
      <c r="F833" s="107" t="s">
        <v>6</v>
      </c>
      <c r="G833" s="110">
        <v>271.26799999999997</v>
      </c>
      <c r="H833" s="110">
        <v>271.26799999999997</v>
      </c>
      <c r="I833" s="80">
        <v>271.26799999999997</v>
      </c>
      <c r="J833" s="98"/>
      <c r="K833" s="14"/>
      <c r="L833" s="14"/>
      <c r="M833" s="14"/>
    </row>
    <row r="834" spans="1:13" ht="75" x14ac:dyDescent="0.25">
      <c r="A834" s="116" t="s">
        <v>1056</v>
      </c>
      <c r="B834" s="123"/>
      <c r="C834" s="116" t="s">
        <v>217</v>
      </c>
      <c r="D834" s="107" t="s">
        <v>1877</v>
      </c>
      <c r="E834" s="107" t="s">
        <v>2343</v>
      </c>
      <c r="F834" s="107" t="s">
        <v>80</v>
      </c>
      <c r="G834" s="19">
        <v>1000</v>
      </c>
      <c r="H834" s="19">
        <v>1000</v>
      </c>
      <c r="I834" s="73">
        <v>1000</v>
      </c>
      <c r="J834" s="98"/>
      <c r="K834" s="14"/>
      <c r="L834" s="14"/>
      <c r="M834" s="14"/>
    </row>
    <row r="835" spans="1:13" ht="60" x14ac:dyDescent="0.25">
      <c r="A835" s="117"/>
      <c r="B835" s="123"/>
      <c r="C835" s="117"/>
      <c r="D835" s="107" t="s">
        <v>813</v>
      </c>
      <c r="E835" s="107" t="s">
        <v>16</v>
      </c>
      <c r="F835" s="107" t="s">
        <v>6</v>
      </c>
      <c r="G835" s="110">
        <v>7300</v>
      </c>
      <c r="H835" s="110">
        <v>7818.76</v>
      </c>
      <c r="I835" s="80">
        <v>7818.76</v>
      </c>
      <c r="J835" s="98"/>
      <c r="K835" s="14"/>
      <c r="L835" s="14"/>
      <c r="M835" s="14"/>
    </row>
    <row r="836" spans="1:13" ht="75" x14ac:dyDescent="0.25">
      <c r="A836" s="116" t="s">
        <v>1057</v>
      </c>
      <c r="B836" s="123"/>
      <c r="C836" s="116" t="s">
        <v>217</v>
      </c>
      <c r="D836" s="107" t="s">
        <v>1867</v>
      </c>
      <c r="E836" s="107" t="s">
        <v>2354</v>
      </c>
      <c r="F836" s="107" t="s">
        <v>80</v>
      </c>
      <c r="G836" s="19">
        <v>100</v>
      </c>
      <c r="H836" s="19">
        <v>100</v>
      </c>
      <c r="I836" s="73">
        <v>100</v>
      </c>
      <c r="J836" s="98"/>
      <c r="K836" s="14"/>
      <c r="L836" s="14"/>
      <c r="M836" s="14"/>
    </row>
    <row r="837" spans="1:13" ht="60" x14ac:dyDescent="0.25">
      <c r="A837" s="117"/>
      <c r="B837" s="123"/>
      <c r="C837" s="117"/>
      <c r="D837" s="107" t="s">
        <v>813</v>
      </c>
      <c r="E837" s="107" t="s">
        <v>16</v>
      </c>
      <c r="F837" s="107" t="s">
        <v>6</v>
      </c>
      <c r="G837" s="110">
        <v>781.87599999999998</v>
      </c>
      <c r="H837" s="110">
        <v>781.87599999999998</v>
      </c>
      <c r="I837" s="80">
        <v>781.87599999999998</v>
      </c>
      <c r="J837" s="98"/>
      <c r="K837" s="14"/>
      <c r="L837" s="14"/>
      <c r="M837" s="14"/>
    </row>
    <row r="838" spans="1:13" ht="75" x14ac:dyDescent="0.25">
      <c r="A838" s="116" t="s">
        <v>1058</v>
      </c>
      <c r="B838" s="123"/>
      <c r="C838" s="116" t="s">
        <v>217</v>
      </c>
      <c r="D838" s="107" t="s">
        <v>1878</v>
      </c>
      <c r="E838" s="107" t="s">
        <v>2355</v>
      </c>
      <c r="F838" s="107" t="s">
        <v>80</v>
      </c>
      <c r="G838" s="19">
        <v>14</v>
      </c>
      <c r="H838" s="19">
        <v>14</v>
      </c>
      <c r="I838" s="73">
        <v>14</v>
      </c>
      <c r="J838" s="98"/>
      <c r="K838" s="14"/>
      <c r="L838" s="14"/>
      <c r="M838" s="14"/>
    </row>
    <row r="839" spans="1:13" ht="60" x14ac:dyDescent="0.25">
      <c r="A839" s="117"/>
      <c r="B839" s="123"/>
      <c r="C839" s="117"/>
      <c r="D839" s="107" t="s">
        <v>813</v>
      </c>
      <c r="E839" s="107" t="s">
        <v>16</v>
      </c>
      <c r="F839" s="107" t="s">
        <v>6</v>
      </c>
      <c r="G839" s="110">
        <v>109.46263999999999</v>
      </c>
      <c r="H839" s="110">
        <v>109.46263999999999</v>
      </c>
      <c r="I839" s="80">
        <v>109.46263999999999</v>
      </c>
      <c r="J839" s="98"/>
      <c r="K839" s="14"/>
      <c r="L839" s="14"/>
      <c r="M839" s="14"/>
    </row>
    <row r="840" spans="1:13" ht="120" customHeight="1" x14ac:dyDescent="0.25">
      <c r="A840" s="116" t="s">
        <v>1059</v>
      </c>
      <c r="B840" s="123"/>
      <c r="C840" s="116" t="s">
        <v>816</v>
      </c>
      <c r="D840" s="107" t="s">
        <v>2356</v>
      </c>
      <c r="E840" s="107" t="s">
        <v>2357</v>
      </c>
      <c r="F840" s="107" t="s">
        <v>54</v>
      </c>
      <c r="G840" s="110">
        <v>10000</v>
      </c>
      <c r="H840" s="110">
        <v>10000</v>
      </c>
      <c r="I840" s="80">
        <v>10000</v>
      </c>
      <c r="J840" s="98"/>
      <c r="K840" s="14"/>
      <c r="L840" s="14"/>
      <c r="M840" s="14"/>
    </row>
    <row r="841" spans="1:13" ht="60" x14ac:dyDescent="0.25">
      <c r="A841" s="117"/>
      <c r="B841" s="123"/>
      <c r="C841" s="117"/>
      <c r="D841" s="107" t="s">
        <v>813</v>
      </c>
      <c r="E841" s="107" t="s">
        <v>16</v>
      </c>
      <c r="F841" s="107" t="s">
        <v>6</v>
      </c>
      <c r="G841" s="110">
        <v>7800</v>
      </c>
      <c r="H841" s="110">
        <v>8408.2000000000007</v>
      </c>
      <c r="I841" s="80">
        <v>8408.2000000000007</v>
      </c>
      <c r="J841" s="98"/>
      <c r="K841" s="14"/>
      <c r="L841" s="14"/>
      <c r="M841" s="14"/>
    </row>
    <row r="842" spans="1:13" ht="59.25" customHeight="1" x14ac:dyDescent="0.25">
      <c r="A842" s="116" t="s">
        <v>1060</v>
      </c>
      <c r="B842" s="123"/>
      <c r="C842" s="116" t="s">
        <v>202</v>
      </c>
      <c r="D842" s="107" t="s">
        <v>1879</v>
      </c>
      <c r="E842" s="107" t="s">
        <v>2358</v>
      </c>
      <c r="F842" s="107" t="s">
        <v>2318</v>
      </c>
      <c r="G842" s="110">
        <v>108</v>
      </c>
      <c r="H842" s="110">
        <v>108</v>
      </c>
      <c r="I842" s="80">
        <v>108</v>
      </c>
      <c r="J842" s="98"/>
      <c r="K842" s="14"/>
      <c r="L842" s="14"/>
      <c r="M842" s="14"/>
    </row>
    <row r="843" spans="1:13" ht="60" x14ac:dyDescent="0.25">
      <c r="A843" s="117"/>
      <c r="B843" s="123"/>
      <c r="C843" s="117"/>
      <c r="D843" s="107" t="s">
        <v>813</v>
      </c>
      <c r="E843" s="107" t="s">
        <v>16</v>
      </c>
      <c r="F843" s="107" t="s">
        <v>6</v>
      </c>
      <c r="G843" s="110">
        <v>3100</v>
      </c>
      <c r="H843" s="110">
        <v>3239.44272</v>
      </c>
      <c r="I843" s="80">
        <v>3239.44272</v>
      </c>
      <c r="J843" s="98"/>
      <c r="K843" s="14"/>
      <c r="L843" s="14"/>
      <c r="M843" s="14"/>
    </row>
    <row r="844" spans="1:13" ht="66" customHeight="1" x14ac:dyDescent="0.25">
      <c r="A844" s="116" t="s">
        <v>1061</v>
      </c>
      <c r="B844" s="123"/>
      <c r="C844" s="116" t="s">
        <v>202</v>
      </c>
      <c r="D844" s="107" t="s">
        <v>1880</v>
      </c>
      <c r="E844" s="107" t="s">
        <v>2359</v>
      </c>
      <c r="F844" s="107" t="s">
        <v>2318</v>
      </c>
      <c r="G844" s="110">
        <v>108</v>
      </c>
      <c r="H844" s="110">
        <v>108</v>
      </c>
      <c r="I844" s="80">
        <v>108</v>
      </c>
      <c r="J844" s="98"/>
      <c r="K844" s="14"/>
      <c r="L844" s="14"/>
      <c r="M844" s="14"/>
    </row>
    <row r="845" spans="1:13" ht="60" x14ac:dyDescent="0.25">
      <c r="A845" s="117"/>
      <c r="B845" s="123"/>
      <c r="C845" s="117"/>
      <c r="D845" s="107" t="s">
        <v>817</v>
      </c>
      <c r="E845" s="107" t="s">
        <v>16</v>
      </c>
      <c r="F845" s="107" t="s">
        <v>6</v>
      </c>
      <c r="G845" s="110">
        <v>3100</v>
      </c>
      <c r="H845" s="110">
        <v>3239.44272</v>
      </c>
      <c r="I845" s="80">
        <v>3239.44272</v>
      </c>
      <c r="J845" s="98"/>
      <c r="K845" s="14"/>
      <c r="L845" s="14"/>
      <c r="M845" s="14"/>
    </row>
    <row r="846" spans="1:13" ht="60" x14ac:dyDescent="0.25">
      <c r="A846" s="116" t="s">
        <v>1062</v>
      </c>
      <c r="B846" s="123"/>
      <c r="C846" s="116" t="s">
        <v>203</v>
      </c>
      <c r="D846" s="107" t="s">
        <v>1881</v>
      </c>
      <c r="E846" s="107" t="s">
        <v>225</v>
      </c>
      <c r="F846" s="107" t="s">
        <v>85</v>
      </c>
      <c r="G846" s="55">
        <v>12</v>
      </c>
      <c r="H846" s="55">
        <v>12</v>
      </c>
      <c r="I846" s="82">
        <v>12</v>
      </c>
      <c r="J846" s="98"/>
      <c r="K846" s="14"/>
      <c r="L846" s="14"/>
      <c r="M846" s="14"/>
    </row>
    <row r="847" spans="1:13" ht="60" x14ac:dyDescent="0.25">
      <c r="A847" s="117"/>
      <c r="B847" s="123"/>
      <c r="C847" s="117"/>
      <c r="D847" s="107" t="s">
        <v>813</v>
      </c>
      <c r="E847" s="107" t="s">
        <v>16</v>
      </c>
      <c r="F847" s="107" t="s">
        <v>6</v>
      </c>
      <c r="G847" s="110">
        <v>2300</v>
      </c>
      <c r="H847" s="110">
        <v>2849.4547199999988</v>
      </c>
      <c r="I847" s="80">
        <v>2693.5798399999962</v>
      </c>
      <c r="J847" s="98"/>
      <c r="K847" s="14"/>
      <c r="L847" s="14"/>
      <c r="M847" s="14"/>
    </row>
    <row r="848" spans="1:13" ht="60" x14ac:dyDescent="0.25">
      <c r="A848" s="116" t="s">
        <v>1063</v>
      </c>
      <c r="B848" s="123"/>
      <c r="C848" s="116" t="s">
        <v>204</v>
      </c>
      <c r="D848" s="104" t="s">
        <v>1882</v>
      </c>
      <c r="E848" s="107" t="s">
        <v>2360</v>
      </c>
      <c r="F848" s="107" t="s">
        <v>85</v>
      </c>
      <c r="G848" s="55">
        <v>6000</v>
      </c>
      <c r="H848" s="55">
        <v>6000</v>
      </c>
      <c r="I848" s="82">
        <v>6000</v>
      </c>
      <c r="J848" s="98"/>
      <c r="K848" s="14"/>
      <c r="L848" s="14"/>
      <c r="M848" s="14"/>
    </row>
    <row r="849" spans="1:13" ht="60" x14ac:dyDescent="0.25">
      <c r="A849" s="117"/>
      <c r="B849" s="123"/>
      <c r="C849" s="117"/>
      <c r="D849" s="107" t="s">
        <v>813</v>
      </c>
      <c r="E849" s="107" t="s">
        <v>16</v>
      </c>
      <c r="F849" s="107" t="s">
        <v>6</v>
      </c>
      <c r="G849" s="110">
        <v>3300</v>
      </c>
      <c r="H849" s="110">
        <v>3840.78</v>
      </c>
      <c r="I849" s="80">
        <v>3840.78</v>
      </c>
      <c r="J849" s="98"/>
      <c r="K849" s="14"/>
      <c r="L849" s="14"/>
      <c r="M849" s="14"/>
    </row>
    <row r="850" spans="1:13" ht="60" x14ac:dyDescent="0.25">
      <c r="A850" s="116" t="s">
        <v>1064</v>
      </c>
      <c r="B850" s="123"/>
      <c r="C850" s="116" t="s">
        <v>194</v>
      </c>
      <c r="D850" s="107" t="s">
        <v>1859</v>
      </c>
      <c r="E850" s="107" t="s">
        <v>807</v>
      </c>
      <c r="F850" s="107" t="s">
        <v>80</v>
      </c>
      <c r="G850" s="55">
        <v>96</v>
      </c>
      <c r="H850" s="55">
        <v>96</v>
      </c>
      <c r="I850" s="82">
        <v>96</v>
      </c>
      <c r="J850" s="98"/>
      <c r="K850" s="14"/>
      <c r="L850" s="14"/>
      <c r="M850" s="14"/>
    </row>
    <row r="851" spans="1:13" ht="60" x14ac:dyDescent="0.25">
      <c r="A851" s="117"/>
      <c r="B851" s="123"/>
      <c r="C851" s="117"/>
      <c r="D851" s="107" t="s">
        <v>813</v>
      </c>
      <c r="E851" s="107" t="s">
        <v>16</v>
      </c>
      <c r="F851" s="107" t="s">
        <v>6</v>
      </c>
      <c r="G851" s="110">
        <v>1700</v>
      </c>
      <c r="H851" s="110">
        <v>1809.97056</v>
      </c>
      <c r="I851" s="80">
        <v>1809.97056</v>
      </c>
      <c r="J851" s="98"/>
      <c r="K851" s="14"/>
      <c r="L851" s="14"/>
      <c r="M851" s="14"/>
    </row>
    <row r="852" spans="1:13" ht="75" x14ac:dyDescent="0.25">
      <c r="A852" s="116" t="s">
        <v>1065</v>
      </c>
      <c r="B852" s="123"/>
      <c r="C852" s="116" t="s">
        <v>815</v>
      </c>
      <c r="D852" s="107" t="s">
        <v>1883</v>
      </c>
      <c r="E852" s="107" t="s">
        <v>2350</v>
      </c>
      <c r="F852" s="107" t="s">
        <v>80</v>
      </c>
      <c r="G852" s="55">
        <v>410</v>
      </c>
      <c r="H852" s="55">
        <v>410</v>
      </c>
      <c r="I852" s="82">
        <v>410</v>
      </c>
      <c r="J852" s="98"/>
      <c r="K852" s="14"/>
      <c r="L852" s="14"/>
      <c r="M852" s="14"/>
    </row>
    <row r="853" spans="1:13" ht="60" x14ac:dyDescent="0.25">
      <c r="A853" s="117"/>
      <c r="B853" s="123"/>
      <c r="C853" s="117"/>
      <c r="D853" s="107" t="s">
        <v>813</v>
      </c>
      <c r="E853" s="107" t="s">
        <v>16</v>
      </c>
      <c r="F853" s="107" t="s">
        <v>68</v>
      </c>
      <c r="G853" s="110">
        <v>2700</v>
      </c>
      <c r="H853" s="110">
        <v>2997.4438</v>
      </c>
      <c r="I853" s="80">
        <v>2989.4067599999998</v>
      </c>
      <c r="J853" s="98"/>
      <c r="K853" s="14"/>
      <c r="L853" s="14"/>
      <c r="M853" s="14"/>
    </row>
    <row r="854" spans="1:13" ht="75" x14ac:dyDescent="0.25">
      <c r="A854" s="116" t="s">
        <v>1066</v>
      </c>
      <c r="B854" s="123"/>
      <c r="C854" s="116" t="s">
        <v>815</v>
      </c>
      <c r="D854" s="107" t="s">
        <v>1884</v>
      </c>
      <c r="E854" s="107" t="s">
        <v>2352</v>
      </c>
      <c r="F854" s="107" t="s">
        <v>80</v>
      </c>
      <c r="G854" s="55">
        <v>350</v>
      </c>
      <c r="H854" s="55">
        <v>350</v>
      </c>
      <c r="I854" s="82">
        <v>350</v>
      </c>
      <c r="J854" s="98"/>
      <c r="K854" s="14"/>
      <c r="L854" s="14"/>
      <c r="M854" s="14"/>
    </row>
    <row r="855" spans="1:13" ht="60" x14ac:dyDescent="0.25">
      <c r="A855" s="117"/>
      <c r="B855" s="123"/>
      <c r="C855" s="117"/>
      <c r="D855" s="107" t="s">
        <v>813</v>
      </c>
      <c r="E855" s="107" t="s">
        <v>16</v>
      </c>
      <c r="F855" s="107" t="s">
        <v>68</v>
      </c>
      <c r="G855" s="110">
        <v>2558.79349</v>
      </c>
      <c r="H855" s="110">
        <v>2558.79349</v>
      </c>
      <c r="I855" s="80">
        <v>2551.9326000000001</v>
      </c>
      <c r="J855" s="98"/>
      <c r="K855" s="14"/>
      <c r="L855" s="14"/>
      <c r="M855" s="14"/>
    </row>
    <row r="856" spans="1:13" ht="75" x14ac:dyDescent="0.25">
      <c r="A856" s="116" t="s">
        <v>1067</v>
      </c>
      <c r="B856" s="123"/>
      <c r="C856" s="116" t="s">
        <v>815</v>
      </c>
      <c r="D856" s="107" t="s">
        <v>1885</v>
      </c>
      <c r="E856" s="107" t="s">
        <v>2347</v>
      </c>
      <c r="F856" s="107" t="s">
        <v>80</v>
      </c>
      <c r="G856" s="55">
        <v>130</v>
      </c>
      <c r="H856" s="55">
        <v>130</v>
      </c>
      <c r="I856" s="82">
        <v>130</v>
      </c>
      <c r="J856" s="98"/>
      <c r="K856" s="14"/>
      <c r="L856" s="14"/>
      <c r="M856" s="14"/>
    </row>
    <row r="857" spans="1:13" ht="60" x14ac:dyDescent="0.25">
      <c r="A857" s="117"/>
      <c r="B857" s="123"/>
      <c r="C857" s="117"/>
      <c r="D857" s="107" t="s">
        <v>813</v>
      </c>
      <c r="E857" s="107" t="s">
        <v>16</v>
      </c>
      <c r="F857" s="107" t="s">
        <v>68</v>
      </c>
      <c r="G857" s="110">
        <v>950.40900999999997</v>
      </c>
      <c r="H857" s="110">
        <v>950.40900999999997</v>
      </c>
      <c r="I857" s="80">
        <v>947.86068</v>
      </c>
      <c r="J857" s="98"/>
      <c r="K857" s="14"/>
      <c r="L857" s="14"/>
      <c r="M857" s="14"/>
    </row>
    <row r="858" spans="1:13" ht="60" x14ac:dyDescent="0.25">
      <c r="A858" s="116" t="s">
        <v>1068</v>
      </c>
      <c r="B858" s="123"/>
      <c r="C858" s="116" t="s">
        <v>197</v>
      </c>
      <c r="D858" s="107" t="s">
        <v>1863</v>
      </c>
      <c r="E858" s="107" t="s">
        <v>2361</v>
      </c>
      <c r="F858" s="107" t="s">
        <v>54</v>
      </c>
      <c r="G858" s="110">
        <v>3000</v>
      </c>
      <c r="H858" s="110">
        <v>3000</v>
      </c>
      <c r="I858" s="80">
        <v>3000</v>
      </c>
      <c r="J858" s="98"/>
      <c r="K858" s="14"/>
      <c r="L858" s="14"/>
      <c r="M858" s="14"/>
    </row>
    <row r="859" spans="1:13" ht="60" x14ac:dyDescent="0.25">
      <c r="A859" s="117"/>
      <c r="B859" s="123"/>
      <c r="C859" s="117"/>
      <c r="D859" s="107" t="s">
        <v>813</v>
      </c>
      <c r="E859" s="107" t="s">
        <v>16</v>
      </c>
      <c r="F859" s="107" t="s">
        <v>6</v>
      </c>
      <c r="G859" s="110">
        <f>2520+99.63</f>
        <v>2619.63</v>
      </c>
      <c r="H859" s="110">
        <f>2520+212.01-52.2799999999988</f>
        <v>2679.7300000000014</v>
      </c>
      <c r="I859" s="80">
        <f>2520+226.3</f>
        <v>2746.3</v>
      </c>
      <c r="J859" s="98"/>
      <c r="K859" s="14"/>
      <c r="L859" s="14"/>
      <c r="M859" s="14"/>
    </row>
    <row r="860" spans="1:13" s="53" customFormat="1" ht="60" x14ac:dyDescent="0.25">
      <c r="A860" s="116" t="s">
        <v>1069</v>
      </c>
      <c r="B860" s="123"/>
      <c r="C860" s="116" t="s">
        <v>217</v>
      </c>
      <c r="D860" s="107" t="s">
        <v>1878</v>
      </c>
      <c r="E860" s="107" t="s">
        <v>2383</v>
      </c>
      <c r="F860" s="107" t="s">
        <v>80</v>
      </c>
      <c r="G860" s="19">
        <v>20</v>
      </c>
      <c r="H860" s="19">
        <v>20</v>
      </c>
      <c r="I860" s="73">
        <v>20</v>
      </c>
      <c r="J860" s="98"/>
      <c r="K860" s="52"/>
      <c r="L860" s="52"/>
      <c r="M860" s="52"/>
    </row>
    <row r="861" spans="1:13" s="53" customFormat="1" ht="60" x14ac:dyDescent="0.25">
      <c r="A861" s="117"/>
      <c r="B861" s="123"/>
      <c r="C861" s="117"/>
      <c r="D861" s="107" t="s">
        <v>813</v>
      </c>
      <c r="E861" s="107" t="s">
        <v>16</v>
      </c>
      <c r="F861" s="107" t="s">
        <v>6</v>
      </c>
      <c r="G861" s="110">
        <v>146.21677</v>
      </c>
      <c r="H861" s="110">
        <v>146.21677</v>
      </c>
      <c r="I861" s="80">
        <v>145.82472000000001</v>
      </c>
      <c r="J861" s="98"/>
      <c r="K861" s="52"/>
      <c r="L861" s="52"/>
      <c r="M861" s="52"/>
    </row>
    <row r="862" spans="1:13" ht="60" x14ac:dyDescent="0.25">
      <c r="A862" s="116" t="s">
        <v>1070</v>
      </c>
      <c r="B862" s="123"/>
      <c r="C862" s="116" t="s">
        <v>205</v>
      </c>
      <c r="D862" s="107" t="s">
        <v>1898</v>
      </c>
      <c r="E862" s="107" t="s">
        <v>23</v>
      </c>
      <c r="F862" s="107" t="s">
        <v>85</v>
      </c>
      <c r="G862" s="19">
        <v>17</v>
      </c>
      <c r="H862" s="19">
        <v>17</v>
      </c>
      <c r="I862" s="73">
        <v>17</v>
      </c>
      <c r="J862" s="98"/>
      <c r="K862" s="14"/>
      <c r="L862" s="14"/>
      <c r="M862" s="14"/>
    </row>
    <row r="863" spans="1:13" ht="60" x14ac:dyDescent="0.25">
      <c r="A863" s="117"/>
      <c r="B863" s="123"/>
      <c r="C863" s="117"/>
      <c r="D863" s="107" t="s">
        <v>813</v>
      </c>
      <c r="E863" s="107" t="s">
        <v>16</v>
      </c>
      <c r="F863" s="107" t="s">
        <v>6</v>
      </c>
      <c r="G863" s="110">
        <v>58.486709999999995</v>
      </c>
      <c r="H863" s="110">
        <v>58.486709999999995</v>
      </c>
      <c r="I863" s="80">
        <v>58.329899999999995</v>
      </c>
      <c r="J863" s="98"/>
      <c r="K863" s="14"/>
      <c r="L863" s="14"/>
      <c r="M863" s="14"/>
    </row>
    <row r="864" spans="1:13" ht="90" x14ac:dyDescent="0.25">
      <c r="A864" s="116" t="s">
        <v>1071</v>
      </c>
      <c r="B864" s="123"/>
      <c r="C864" s="116" t="s">
        <v>821</v>
      </c>
      <c r="D864" s="107" t="s">
        <v>1886</v>
      </c>
      <c r="E864" s="107" t="s">
        <v>2362</v>
      </c>
      <c r="F864" s="107" t="s">
        <v>54</v>
      </c>
      <c r="G864" s="110">
        <v>149796</v>
      </c>
      <c r="H864" s="110">
        <v>149796</v>
      </c>
      <c r="I864" s="80">
        <v>142859</v>
      </c>
      <c r="J864" s="98"/>
      <c r="K864" s="14"/>
      <c r="L864" s="14"/>
      <c r="M864" s="14"/>
    </row>
    <row r="865" spans="1:13" ht="60" x14ac:dyDescent="0.25">
      <c r="A865" s="117"/>
      <c r="B865" s="123"/>
      <c r="C865" s="117"/>
      <c r="D865" s="107" t="s">
        <v>822</v>
      </c>
      <c r="E865" s="107" t="s">
        <v>16</v>
      </c>
      <c r="F865" s="107" t="s">
        <v>6</v>
      </c>
      <c r="G865" s="110">
        <v>11247.9354</v>
      </c>
      <c r="H865" s="110">
        <v>11247.9354</v>
      </c>
      <c r="I865" s="80">
        <v>10724.86391</v>
      </c>
      <c r="J865" s="98"/>
      <c r="K865" s="14"/>
      <c r="L865" s="14"/>
      <c r="M865" s="14"/>
    </row>
    <row r="866" spans="1:13" ht="90" x14ac:dyDescent="0.25">
      <c r="A866" s="116" t="s">
        <v>1072</v>
      </c>
      <c r="B866" s="123"/>
      <c r="C866" s="116" t="s">
        <v>821</v>
      </c>
      <c r="D866" s="107" t="s">
        <v>1887</v>
      </c>
      <c r="E866" s="107" t="s">
        <v>2363</v>
      </c>
      <c r="F866" s="107" t="s">
        <v>54</v>
      </c>
      <c r="G866" s="110">
        <v>226846</v>
      </c>
      <c r="H866" s="110">
        <v>226846</v>
      </c>
      <c r="I866" s="80">
        <v>220761</v>
      </c>
      <c r="J866" s="98"/>
      <c r="K866" s="14"/>
      <c r="L866" s="14"/>
      <c r="M866" s="14"/>
    </row>
    <row r="867" spans="1:13" ht="60" x14ac:dyDescent="0.25">
      <c r="A867" s="117"/>
      <c r="B867" s="123"/>
      <c r="C867" s="117"/>
      <c r="D867" s="107" t="s">
        <v>820</v>
      </c>
      <c r="E867" s="107" t="s">
        <v>16</v>
      </c>
      <c r="F867" s="107" t="s">
        <v>6</v>
      </c>
      <c r="G867" s="110">
        <v>19600</v>
      </c>
      <c r="H867" s="110">
        <v>19110.612129999998</v>
      </c>
      <c r="I867" s="80">
        <v>18684.662130000001</v>
      </c>
      <c r="J867" s="98"/>
      <c r="K867" s="14"/>
      <c r="L867" s="14"/>
      <c r="M867" s="14"/>
    </row>
    <row r="868" spans="1:13" ht="105" x14ac:dyDescent="0.25">
      <c r="A868" s="116" t="s">
        <v>1073</v>
      </c>
      <c r="B868" s="123"/>
      <c r="C868" s="116" t="s">
        <v>821</v>
      </c>
      <c r="D868" s="107" t="s">
        <v>1888</v>
      </c>
      <c r="E868" s="107" t="s">
        <v>2364</v>
      </c>
      <c r="F868" s="107" t="s">
        <v>54</v>
      </c>
      <c r="G868" s="110">
        <v>19888</v>
      </c>
      <c r="H868" s="110">
        <v>19888</v>
      </c>
      <c r="I868" s="80">
        <v>19888</v>
      </c>
      <c r="J868" s="98"/>
      <c r="K868" s="14"/>
      <c r="L868" s="14"/>
      <c r="M868" s="14"/>
    </row>
    <row r="869" spans="1:13" ht="60" x14ac:dyDescent="0.25">
      <c r="A869" s="117"/>
      <c r="B869" s="123"/>
      <c r="C869" s="117"/>
      <c r="D869" s="107" t="s">
        <v>822</v>
      </c>
      <c r="E869" s="107" t="s">
        <v>16</v>
      </c>
      <c r="F869" s="107" t="s">
        <v>6</v>
      </c>
      <c r="G869" s="110">
        <v>1969.8390400000001</v>
      </c>
      <c r="H869" s="110">
        <v>1969.8390400000001</v>
      </c>
      <c r="I869" s="80">
        <v>1969.8390400000001</v>
      </c>
      <c r="J869" s="98"/>
      <c r="K869" s="14"/>
      <c r="L869" s="14"/>
      <c r="M869" s="14"/>
    </row>
    <row r="870" spans="1:13" ht="60" x14ac:dyDescent="0.25">
      <c r="A870" s="116" t="s">
        <v>1074</v>
      </c>
      <c r="B870" s="123"/>
      <c r="C870" s="116" t="s">
        <v>206</v>
      </c>
      <c r="D870" s="107" t="s">
        <v>1881</v>
      </c>
      <c r="E870" s="107" t="s">
        <v>225</v>
      </c>
      <c r="F870" s="107" t="s">
        <v>290</v>
      </c>
      <c r="G870" s="19">
        <v>8</v>
      </c>
      <c r="H870" s="19">
        <v>8</v>
      </c>
      <c r="I870" s="73">
        <v>8</v>
      </c>
      <c r="J870" s="98"/>
      <c r="K870" s="14"/>
      <c r="L870" s="14"/>
      <c r="M870" s="14"/>
    </row>
    <row r="871" spans="1:13" ht="60" x14ac:dyDescent="0.25">
      <c r="A871" s="117"/>
      <c r="B871" s="123"/>
      <c r="C871" s="117"/>
      <c r="D871" s="107" t="s">
        <v>822</v>
      </c>
      <c r="E871" s="107" t="s">
        <v>16</v>
      </c>
      <c r="F871" s="107" t="s">
        <v>6</v>
      </c>
      <c r="G871" s="110">
        <v>1405.2952700000001</v>
      </c>
      <c r="H871" s="110">
        <v>1405.2952700000001</v>
      </c>
      <c r="I871" s="80">
        <v>1679.46524</v>
      </c>
      <c r="J871" s="98"/>
      <c r="K871" s="14"/>
      <c r="L871" s="14"/>
      <c r="M871" s="14"/>
    </row>
    <row r="872" spans="1:13" ht="60" x14ac:dyDescent="0.25">
      <c r="A872" s="116" t="s">
        <v>1075</v>
      </c>
      <c r="B872" s="123"/>
      <c r="C872" s="125" t="s">
        <v>207</v>
      </c>
      <c r="D872" s="107" t="s">
        <v>1893</v>
      </c>
      <c r="E872" s="107" t="s">
        <v>520</v>
      </c>
      <c r="F872" s="107" t="s">
        <v>80</v>
      </c>
      <c r="G872" s="19">
        <v>2196</v>
      </c>
      <c r="H872" s="19">
        <v>2196</v>
      </c>
      <c r="I872" s="73">
        <v>1996</v>
      </c>
      <c r="J872" s="314"/>
      <c r="K872" s="14"/>
      <c r="L872" s="14"/>
      <c r="M872" s="14"/>
    </row>
    <row r="873" spans="1:13" ht="78" customHeight="1" x14ac:dyDescent="0.25">
      <c r="A873" s="117"/>
      <c r="B873" s="123"/>
      <c r="C873" s="127"/>
      <c r="D873" s="107" t="s">
        <v>822</v>
      </c>
      <c r="E873" s="107" t="s">
        <v>16</v>
      </c>
      <c r="F873" s="107" t="s">
        <v>6</v>
      </c>
      <c r="G873" s="110">
        <v>1400.1155000000001</v>
      </c>
      <c r="H873" s="110">
        <v>1400.1155000000001</v>
      </c>
      <c r="I873" s="80">
        <v>1679.46524</v>
      </c>
      <c r="J873" s="98"/>
      <c r="K873" s="14"/>
      <c r="L873" s="14"/>
      <c r="M873" s="14"/>
    </row>
    <row r="874" spans="1:13" ht="60" x14ac:dyDescent="0.25">
      <c r="A874" s="116" t="s">
        <v>1076</v>
      </c>
      <c r="B874" s="123"/>
      <c r="C874" s="125" t="s">
        <v>207</v>
      </c>
      <c r="D874" s="107" t="s">
        <v>1893</v>
      </c>
      <c r="E874" s="107" t="s">
        <v>36</v>
      </c>
      <c r="F874" s="105" t="s">
        <v>85</v>
      </c>
      <c r="G874" s="19">
        <v>9</v>
      </c>
      <c r="H874" s="19">
        <v>9</v>
      </c>
      <c r="I874" s="73">
        <v>8</v>
      </c>
      <c r="J874" s="98"/>
      <c r="K874" s="14"/>
      <c r="L874" s="14"/>
      <c r="M874" s="14"/>
    </row>
    <row r="875" spans="1:13" ht="78" customHeight="1" x14ac:dyDescent="0.25">
      <c r="A875" s="117"/>
      <c r="B875" s="123"/>
      <c r="C875" s="127"/>
      <c r="D875" s="107" t="s">
        <v>822</v>
      </c>
      <c r="E875" s="107" t="s">
        <v>16</v>
      </c>
      <c r="F875" s="107" t="s">
        <v>6</v>
      </c>
      <c r="G875" s="110">
        <v>9300</v>
      </c>
      <c r="H875" s="110">
        <v>8946.7282799999994</v>
      </c>
      <c r="I875" s="80">
        <v>9973.5339100000001</v>
      </c>
      <c r="J875" s="98"/>
      <c r="K875" s="14"/>
      <c r="L875" s="14"/>
      <c r="M875" s="14"/>
    </row>
    <row r="876" spans="1:13" ht="60" x14ac:dyDescent="0.25">
      <c r="A876" s="116" t="s">
        <v>1077</v>
      </c>
      <c r="B876" s="123"/>
      <c r="C876" s="116" t="s">
        <v>208</v>
      </c>
      <c r="D876" s="107" t="s">
        <v>1899</v>
      </c>
      <c r="E876" s="107" t="s">
        <v>225</v>
      </c>
      <c r="F876" s="107" t="s">
        <v>85</v>
      </c>
      <c r="G876" s="19">
        <v>7</v>
      </c>
      <c r="H876" s="19">
        <v>7</v>
      </c>
      <c r="I876" s="73">
        <v>7</v>
      </c>
      <c r="J876" s="98"/>
      <c r="K876" s="14"/>
      <c r="L876" s="14"/>
      <c r="M876" s="14"/>
    </row>
    <row r="877" spans="1:13" ht="60" x14ac:dyDescent="0.25">
      <c r="A877" s="117"/>
      <c r="B877" s="123"/>
      <c r="C877" s="117"/>
      <c r="D877" s="107" t="s">
        <v>822</v>
      </c>
      <c r="E877" s="107" t="s">
        <v>16</v>
      </c>
      <c r="F877" s="107" t="s">
        <v>6</v>
      </c>
      <c r="G877" s="110">
        <v>1400.1155100000001</v>
      </c>
      <c r="H877" s="110">
        <v>1400.1155100000001</v>
      </c>
      <c r="I877" s="80">
        <v>1679.46523</v>
      </c>
      <c r="J877" s="98"/>
      <c r="K877" s="14"/>
      <c r="L877" s="14"/>
      <c r="M877" s="14"/>
    </row>
    <row r="878" spans="1:13" ht="60" x14ac:dyDescent="0.25">
      <c r="A878" s="116" t="s">
        <v>1078</v>
      </c>
      <c r="B878" s="123"/>
      <c r="C878" s="116" t="s">
        <v>197</v>
      </c>
      <c r="D878" s="107" t="s">
        <v>1889</v>
      </c>
      <c r="E878" s="107" t="s">
        <v>2365</v>
      </c>
      <c r="F878" s="107" t="s">
        <v>54</v>
      </c>
      <c r="G878" s="110">
        <v>37760</v>
      </c>
      <c r="H878" s="110">
        <v>37760</v>
      </c>
      <c r="I878" s="80">
        <v>35248</v>
      </c>
      <c r="J878" s="98"/>
      <c r="K878" s="14"/>
      <c r="L878" s="14"/>
      <c r="M878" s="14"/>
    </row>
    <row r="879" spans="1:13" ht="60" x14ac:dyDescent="0.25">
      <c r="A879" s="117"/>
      <c r="B879" s="123"/>
      <c r="C879" s="117"/>
      <c r="D879" s="107" t="s">
        <v>823</v>
      </c>
      <c r="E879" s="107" t="s">
        <v>16</v>
      </c>
      <c r="F879" s="107" t="s">
        <v>6</v>
      </c>
      <c r="G879" s="110">
        <v>4128.3008</v>
      </c>
      <c r="H879" s="110">
        <v>4128.3008</v>
      </c>
      <c r="I879" s="80">
        <v>3853.6638399999997</v>
      </c>
      <c r="J879" s="98"/>
      <c r="K879" s="14"/>
      <c r="L879" s="14"/>
      <c r="M879" s="14"/>
    </row>
    <row r="880" spans="1:13" ht="60" x14ac:dyDescent="0.25">
      <c r="A880" s="116" t="s">
        <v>1079</v>
      </c>
      <c r="B880" s="123"/>
      <c r="C880" s="116" t="s">
        <v>197</v>
      </c>
      <c r="D880" s="107" t="s">
        <v>1863</v>
      </c>
      <c r="E880" s="107" t="s">
        <v>2361</v>
      </c>
      <c r="F880" s="107" t="s">
        <v>54</v>
      </c>
      <c r="G880" s="110">
        <v>162000</v>
      </c>
      <c r="H880" s="110">
        <v>162000</v>
      </c>
      <c r="I880" s="80">
        <v>153900</v>
      </c>
      <c r="J880" s="98"/>
      <c r="K880" s="14"/>
      <c r="L880" s="14"/>
      <c r="M880" s="14"/>
    </row>
    <row r="881" spans="1:13" ht="60" x14ac:dyDescent="0.25">
      <c r="A881" s="117"/>
      <c r="B881" s="123"/>
      <c r="C881" s="117"/>
      <c r="D881" s="107" t="s">
        <v>822</v>
      </c>
      <c r="E881" s="107" t="s">
        <v>16</v>
      </c>
      <c r="F881" s="107" t="s">
        <v>6</v>
      </c>
      <c r="G881" s="110">
        <v>29000</v>
      </c>
      <c r="H881" s="110">
        <v>28242.721320000001</v>
      </c>
      <c r="I881" s="80">
        <v>28233.894219999998</v>
      </c>
      <c r="J881" s="98"/>
      <c r="K881" s="14"/>
      <c r="L881" s="14"/>
      <c r="M881" s="14"/>
    </row>
    <row r="882" spans="1:13" ht="90" x14ac:dyDescent="0.25">
      <c r="A882" s="116" t="s">
        <v>1080</v>
      </c>
      <c r="B882" s="123"/>
      <c r="C882" s="116" t="s">
        <v>197</v>
      </c>
      <c r="D882" s="107" t="s">
        <v>1890</v>
      </c>
      <c r="E882" s="107" t="s">
        <v>2366</v>
      </c>
      <c r="F882" s="107" t="s">
        <v>54</v>
      </c>
      <c r="G882" s="110">
        <v>23616</v>
      </c>
      <c r="H882" s="110">
        <v>23616</v>
      </c>
      <c r="I882" s="80">
        <v>22447</v>
      </c>
      <c r="J882" s="98"/>
      <c r="K882" s="14"/>
      <c r="L882" s="14"/>
      <c r="M882" s="14"/>
    </row>
    <row r="883" spans="1:13" ht="60" x14ac:dyDescent="0.25">
      <c r="A883" s="117"/>
      <c r="B883" s="123"/>
      <c r="C883" s="117"/>
      <c r="D883" s="107" t="s">
        <v>822</v>
      </c>
      <c r="E883" s="107" t="s">
        <v>16</v>
      </c>
      <c r="F883" s="107" t="s">
        <v>6</v>
      </c>
      <c r="G883" s="110">
        <v>2581.9372799999996</v>
      </c>
      <c r="H883" s="110">
        <v>2581.9372799999996</v>
      </c>
      <c r="I883" s="80">
        <v>2454.13051</v>
      </c>
      <c r="J883" s="98"/>
      <c r="K883" s="14"/>
      <c r="L883" s="14"/>
      <c r="M883" s="14"/>
    </row>
    <row r="884" spans="1:13" ht="60" x14ac:dyDescent="0.25">
      <c r="A884" s="116" t="s">
        <v>1081</v>
      </c>
      <c r="B884" s="123"/>
      <c r="C884" s="116" t="s">
        <v>824</v>
      </c>
      <c r="D884" s="107" t="s">
        <v>1891</v>
      </c>
      <c r="E884" s="107" t="s">
        <v>2367</v>
      </c>
      <c r="F884" s="107" t="s">
        <v>54</v>
      </c>
      <c r="G884" s="110">
        <v>97200</v>
      </c>
      <c r="H884" s="110">
        <v>97200</v>
      </c>
      <c r="I884" s="80">
        <v>97200</v>
      </c>
      <c r="J884" s="98"/>
      <c r="K884" s="14"/>
      <c r="L884" s="14"/>
      <c r="M884" s="14"/>
    </row>
    <row r="885" spans="1:13" ht="60" x14ac:dyDescent="0.25">
      <c r="A885" s="117"/>
      <c r="B885" s="123"/>
      <c r="C885" s="117"/>
      <c r="D885" s="107" t="s">
        <v>825</v>
      </c>
      <c r="E885" s="107" t="s">
        <v>16</v>
      </c>
      <c r="F885" s="107" t="s">
        <v>6</v>
      </c>
      <c r="G885" s="110">
        <v>16200</v>
      </c>
      <c r="H885" s="110">
        <v>16066.403789999998</v>
      </c>
      <c r="I885" s="80">
        <v>16066.43001</v>
      </c>
      <c r="J885" s="98"/>
      <c r="K885" s="14"/>
      <c r="L885" s="14"/>
      <c r="M885" s="14"/>
    </row>
    <row r="886" spans="1:13" ht="60" x14ac:dyDescent="0.25">
      <c r="A886" s="116" t="s">
        <v>1082</v>
      </c>
      <c r="B886" s="123"/>
      <c r="C886" s="116" t="s">
        <v>816</v>
      </c>
      <c r="D886" s="107" t="s">
        <v>1892</v>
      </c>
      <c r="E886" s="107" t="s">
        <v>2368</v>
      </c>
      <c r="F886" s="107" t="s">
        <v>54</v>
      </c>
      <c r="G886" s="110">
        <v>48600</v>
      </c>
      <c r="H886" s="110">
        <v>48600</v>
      </c>
      <c r="I886" s="80">
        <v>48600</v>
      </c>
      <c r="J886" s="98"/>
      <c r="K886" s="14"/>
      <c r="L886" s="14"/>
      <c r="M886" s="14"/>
    </row>
    <row r="887" spans="1:13" ht="60" x14ac:dyDescent="0.25">
      <c r="A887" s="117"/>
      <c r="B887" s="123"/>
      <c r="C887" s="117"/>
      <c r="D887" s="107" t="s">
        <v>822</v>
      </c>
      <c r="E887" s="107" t="s">
        <v>16</v>
      </c>
      <c r="F887" s="107" t="s">
        <v>6</v>
      </c>
      <c r="G887" s="110">
        <v>8033.2018899999994</v>
      </c>
      <c r="H887" s="110">
        <v>8033.2018899999994</v>
      </c>
      <c r="I887" s="80">
        <v>8033.2150099999999</v>
      </c>
      <c r="J887" s="98"/>
      <c r="K887" s="14"/>
      <c r="L887" s="14"/>
      <c r="M887" s="14"/>
    </row>
    <row r="888" spans="1:13" ht="60" x14ac:dyDescent="0.25">
      <c r="A888" s="116" t="s">
        <v>1083</v>
      </c>
      <c r="B888" s="123"/>
      <c r="C888" s="125" t="s">
        <v>209</v>
      </c>
      <c r="D888" s="107" t="s">
        <v>1893</v>
      </c>
      <c r="E888" s="107" t="s">
        <v>520</v>
      </c>
      <c r="F888" s="107" t="s">
        <v>80</v>
      </c>
      <c r="G888" s="19">
        <v>1700</v>
      </c>
      <c r="H888" s="19">
        <v>1700</v>
      </c>
      <c r="I888" s="73">
        <v>8183</v>
      </c>
      <c r="J888" s="98"/>
      <c r="K888" s="14"/>
      <c r="L888" s="14"/>
      <c r="M888" s="14"/>
    </row>
    <row r="889" spans="1:13" ht="74.25" customHeight="1" x14ac:dyDescent="0.25">
      <c r="A889" s="117"/>
      <c r="B889" s="123"/>
      <c r="C889" s="127"/>
      <c r="D889" s="107" t="s">
        <v>822</v>
      </c>
      <c r="E889" s="107" t="s">
        <v>16</v>
      </c>
      <c r="F889" s="107" t="s">
        <v>6</v>
      </c>
      <c r="G889" s="110">
        <v>5800</v>
      </c>
      <c r="H889" s="110">
        <v>5402.9200699999992</v>
      </c>
      <c r="I889" s="80">
        <v>5661.3582500000002</v>
      </c>
      <c r="J889" s="98"/>
      <c r="K889" s="14"/>
      <c r="L889" s="14"/>
      <c r="M889" s="14"/>
    </row>
    <row r="890" spans="1:13" ht="60" x14ac:dyDescent="0.25">
      <c r="A890" s="116" t="s">
        <v>1084</v>
      </c>
      <c r="B890" s="123"/>
      <c r="C890" s="116" t="s">
        <v>189</v>
      </c>
      <c r="D890" s="107" t="s">
        <v>1848</v>
      </c>
      <c r="E890" s="107" t="s">
        <v>2369</v>
      </c>
      <c r="F890" s="105" t="s">
        <v>103</v>
      </c>
      <c r="G890" s="19">
        <v>1998</v>
      </c>
      <c r="H890" s="19">
        <v>1998</v>
      </c>
      <c r="I890" s="73">
        <v>1498</v>
      </c>
      <c r="J890" s="98"/>
      <c r="K890" s="14"/>
      <c r="L890" s="14"/>
      <c r="M890" s="14"/>
    </row>
    <row r="891" spans="1:13" ht="60" x14ac:dyDescent="0.25">
      <c r="A891" s="117"/>
      <c r="B891" s="123"/>
      <c r="C891" s="117"/>
      <c r="D891" s="107" t="s">
        <v>822</v>
      </c>
      <c r="E891" s="107" t="s">
        <v>16</v>
      </c>
      <c r="F891" s="107" t="s">
        <v>6</v>
      </c>
      <c r="G891" s="110">
        <v>1540</v>
      </c>
      <c r="H891" s="110">
        <v>1471.1273999999999</v>
      </c>
      <c r="I891" s="80">
        <v>1102.9774</v>
      </c>
      <c r="J891" s="98"/>
      <c r="K891" s="14"/>
      <c r="L891" s="14"/>
      <c r="M891" s="14"/>
    </row>
    <row r="892" spans="1:13" ht="60" x14ac:dyDescent="0.25">
      <c r="A892" s="116" t="s">
        <v>1085</v>
      </c>
      <c r="B892" s="123"/>
      <c r="C892" s="116" t="s">
        <v>190</v>
      </c>
      <c r="D892" s="107" t="s">
        <v>1853</v>
      </c>
      <c r="E892" s="107" t="s">
        <v>819</v>
      </c>
      <c r="F892" s="107" t="s">
        <v>80</v>
      </c>
      <c r="G892" s="19">
        <v>60</v>
      </c>
      <c r="H892" s="19">
        <v>60</v>
      </c>
      <c r="I892" s="73">
        <v>56</v>
      </c>
      <c r="J892" s="98"/>
      <c r="K892" s="14"/>
      <c r="L892" s="14"/>
      <c r="M892" s="14"/>
    </row>
    <row r="893" spans="1:13" ht="60" x14ac:dyDescent="0.25">
      <c r="A893" s="117"/>
      <c r="B893" s="123"/>
      <c r="C893" s="117"/>
      <c r="D893" s="107" t="s">
        <v>822</v>
      </c>
      <c r="E893" s="107" t="s">
        <v>16</v>
      </c>
      <c r="F893" s="107" t="s">
        <v>6</v>
      </c>
      <c r="G893" s="110">
        <v>2390</v>
      </c>
      <c r="H893" s="110">
        <f>2321.08378-573.919999999998</f>
        <v>1747.1637800000019</v>
      </c>
      <c r="I893" s="80">
        <v>2059.2559799999999</v>
      </c>
      <c r="J893" s="98"/>
      <c r="K893" s="14"/>
      <c r="L893" s="14"/>
      <c r="M893" s="14"/>
    </row>
    <row r="894" spans="1:13" ht="60" x14ac:dyDescent="0.25">
      <c r="A894" s="116" t="s">
        <v>1086</v>
      </c>
      <c r="B894" s="123"/>
      <c r="C894" s="116" t="s">
        <v>194</v>
      </c>
      <c r="D894" s="107" t="s">
        <v>1894</v>
      </c>
      <c r="E894" s="107" t="s">
        <v>819</v>
      </c>
      <c r="F894" s="107" t="s">
        <v>80</v>
      </c>
      <c r="G894" s="19">
        <v>60</v>
      </c>
      <c r="H894" s="19">
        <v>60</v>
      </c>
      <c r="I894" s="73">
        <v>56</v>
      </c>
      <c r="J894" s="98"/>
      <c r="K894" s="14"/>
      <c r="L894" s="14"/>
      <c r="M894" s="14"/>
    </row>
    <row r="895" spans="1:13" ht="60" x14ac:dyDescent="0.25">
      <c r="A895" s="117"/>
      <c r="B895" s="123"/>
      <c r="C895" s="117"/>
      <c r="D895" s="107" t="s">
        <v>820</v>
      </c>
      <c r="E895" s="107" t="s">
        <v>16</v>
      </c>
      <c r="F895" s="107" t="s">
        <v>6</v>
      </c>
      <c r="G895" s="110">
        <v>2390</v>
      </c>
      <c r="H895" s="110">
        <v>2321.0837799999999</v>
      </c>
      <c r="I895" s="80">
        <v>2059.2559799999999</v>
      </c>
      <c r="J895" s="98"/>
      <c r="K895" s="14"/>
      <c r="L895" s="14"/>
      <c r="M895" s="14"/>
    </row>
    <row r="896" spans="1:13" ht="60" x14ac:dyDescent="0.25">
      <c r="A896" s="116" t="s">
        <v>1087</v>
      </c>
      <c r="B896" s="123"/>
      <c r="C896" s="116" t="s">
        <v>121</v>
      </c>
      <c r="D896" s="107" t="s">
        <v>1930</v>
      </c>
      <c r="E896" s="107" t="s">
        <v>1160</v>
      </c>
      <c r="F896" s="107" t="s">
        <v>80</v>
      </c>
      <c r="G896" s="19">
        <v>360</v>
      </c>
      <c r="H896" s="19">
        <v>360</v>
      </c>
      <c r="I896" s="73">
        <v>378</v>
      </c>
      <c r="J896" s="98"/>
      <c r="K896" s="14"/>
      <c r="L896" s="14"/>
      <c r="M896" s="14"/>
    </row>
    <row r="897" spans="1:13" ht="60" x14ac:dyDescent="0.25">
      <c r="A897" s="117"/>
      <c r="B897" s="123"/>
      <c r="C897" s="117"/>
      <c r="D897" s="107" t="s">
        <v>822</v>
      </c>
      <c r="E897" s="107" t="s">
        <v>16</v>
      </c>
      <c r="F897" s="107" t="s">
        <v>6</v>
      </c>
      <c r="G897" s="110">
        <v>14092.16</v>
      </c>
      <c r="H897" s="110">
        <v>13926.502710000001</v>
      </c>
      <c r="I897" s="80">
        <v>13899.977869999999</v>
      </c>
      <c r="J897" s="98"/>
      <c r="K897" s="14"/>
      <c r="L897" s="14"/>
      <c r="M897" s="14"/>
    </row>
    <row r="898" spans="1:13" ht="60" x14ac:dyDescent="0.25">
      <c r="A898" s="116" t="s">
        <v>1088</v>
      </c>
      <c r="B898" s="123"/>
      <c r="C898" s="116" t="s">
        <v>210</v>
      </c>
      <c r="D898" s="107" t="s">
        <v>1895</v>
      </c>
      <c r="E898" s="107" t="s">
        <v>828</v>
      </c>
      <c r="F898" s="107" t="s">
        <v>54</v>
      </c>
      <c r="G898" s="110">
        <v>6736</v>
      </c>
      <c r="H898" s="110">
        <v>6736</v>
      </c>
      <c r="I898" s="80">
        <v>5428</v>
      </c>
      <c r="J898" s="98"/>
      <c r="K898" s="14"/>
      <c r="L898" s="14"/>
      <c r="M898" s="14"/>
    </row>
    <row r="899" spans="1:13" ht="60" x14ac:dyDescent="0.25">
      <c r="A899" s="117"/>
      <c r="B899" s="123"/>
      <c r="C899" s="117"/>
      <c r="D899" s="107" t="s">
        <v>826</v>
      </c>
      <c r="E899" s="107" t="s">
        <v>16</v>
      </c>
      <c r="F899" s="107" t="s">
        <v>6</v>
      </c>
      <c r="G899" s="110">
        <v>500</v>
      </c>
      <c r="H899" s="110">
        <v>719.40479999999991</v>
      </c>
      <c r="I899" s="80">
        <v>579.71040000000005</v>
      </c>
      <c r="J899" s="98"/>
      <c r="K899" s="14"/>
      <c r="L899" s="14"/>
      <c r="M899" s="14"/>
    </row>
    <row r="900" spans="1:13" ht="60" x14ac:dyDescent="0.25">
      <c r="A900" s="116" t="s">
        <v>1089</v>
      </c>
      <c r="B900" s="123"/>
      <c r="C900" s="116" t="s">
        <v>827</v>
      </c>
      <c r="D900" s="107" t="s">
        <v>1896</v>
      </c>
      <c r="E900" s="107" t="s">
        <v>828</v>
      </c>
      <c r="F900" s="107" t="s">
        <v>54</v>
      </c>
      <c r="G900" s="110">
        <v>128708</v>
      </c>
      <c r="H900" s="110">
        <v>128708</v>
      </c>
      <c r="I900" s="80">
        <v>53078</v>
      </c>
      <c r="J900" s="98"/>
      <c r="K900" s="14"/>
      <c r="L900" s="14"/>
      <c r="M900" s="14"/>
    </row>
    <row r="901" spans="1:13" ht="60" x14ac:dyDescent="0.25">
      <c r="A901" s="117"/>
      <c r="B901" s="123"/>
      <c r="C901" s="117"/>
      <c r="D901" s="107" t="s">
        <v>826</v>
      </c>
      <c r="E901" s="107" t="s">
        <v>16</v>
      </c>
      <c r="F901" s="107" t="s">
        <v>6</v>
      </c>
      <c r="G901" s="110">
        <v>8543</v>
      </c>
      <c r="H901" s="110">
        <v>13746.0144</v>
      </c>
      <c r="I901" s="80">
        <v>5668.7303999999995</v>
      </c>
      <c r="J901" s="98"/>
      <c r="K901" s="14"/>
      <c r="L901" s="14"/>
      <c r="M901" s="14"/>
    </row>
    <row r="902" spans="1:13" ht="60" x14ac:dyDescent="0.25">
      <c r="A902" s="116" t="s">
        <v>1090</v>
      </c>
      <c r="B902" s="123"/>
      <c r="C902" s="116" t="s">
        <v>827</v>
      </c>
      <c r="D902" s="107" t="s">
        <v>1897</v>
      </c>
      <c r="E902" s="107" t="s">
        <v>2370</v>
      </c>
      <c r="F902" s="107" t="s">
        <v>54</v>
      </c>
      <c r="G902" s="110">
        <v>105036</v>
      </c>
      <c r="H902" s="110">
        <v>105036</v>
      </c>
      <c r="I902" s="80">
        <v>181932</v>
      </c>
      <c r="J902" s="98"/>
      <c r="K902" s="14"/>
      <c r="L902" s="14"/>
      <c r="M902" s="14"/>
    </row>
    <row r="903" spans="1:13" ht="60" x14ac:dyDescent="0.25">
      <c r="A903" s="117"/>
      <c r="B903" s="123"/>
      <c r="C903" s="117"/>
      <c r="D903" s="107" t="s">
        <v>826</v>
      </c>
      <c r="E903" s="107" t="s">
        <v>16</v>
      </c>
      <c r="F903" s="107" t="s">
        <v>6</v>
      </c>
      <c r="G903" s="110">
        <v>6200</v>
      </c>
      <c r="H903" s="110">
        <v>11217.844799999999</v>
      </c>
      <c r="I903" s="80">
        <v>19430.337599999999</v>
      </c>
      <c r="J903" s="98"/>
      <c r="K903" s="14"/>
      <c r="L903" s="14"/>
      <c r="M903" s="14"/>
    </row>
    <row r="904" spans="1:13" ht="60" x14ac:dyDescent="0.25">
      <c r="A904" s="116" t="s">
        <v>1091</v>
      </c>
      <c r="B904" s="123"/>
      <c r="C904" s="116" t="s">
        <v>206</v>
      </c>
      <c r="D904" s="107" t="s">
        <v>1881</v>
      </c>
      <c r="E904" s="107" t="s">
        <v>36</v>
      </c>
      <c r="F904" s="107" t="s">
        <v>85</v>
      </c>
      <c r="G904" s="19">
        <v>63</v>
      </c>
      <c r="H904" s="19">
        <v>63</v>
      </c>
      <c r="I904" s="73">
        <v>63</v>
      </c>
      <c r="J904" s="98"/>
      <c r="K904" s="14"/>
      <c r="L904" s="14"/>
      <c r="M904" s="14"/>
    </row>
    <row r="905" spans="1:13" ht="60" x14ac:dyDescent="0.25">
      <c r="A905" s="117"/>
      <c r="B905" s="123"/>
      <c r="C905" s="117"/>
      <c r="D905" s="107" t="s">
        <v>826</v>
      </c>
      <c r="E905" s="107" t="s">
        <v>16</v>
      </c>
      <c r="F905" s="107" t="s">
        <v>6</v>
      </c>
      <c r="G905" s="110">
        <v>19.84413</v>
      </c>
      <c r="H905" s="110">
        <v>19.84413</v>
      </c>
      <c r="I905" s="80">
        <v>19.677109999999999</v>
      </c>
      <c r="J905" s="98"/>
      <c r="K905" s="14"/>
      <c r="L905" s="14"/>
      <c r="M905" s="14"/>
    </row>
    <row r="906" spans="1:13" ht="60" x14ac:dyDescent="0.25">
      <c r="A906" s="116" t="s">
        <v>1092</v>
      </c>
      <c r="B906" s="123"/>
      <c r="C906" s="116" t="s">
        <v>211</v>
      </c>
      <c r="D906" s="107" t="s">
        <v>1898</v>
      </c>
      <c r="E906" s="107" t="s">
        <v>36</v>
      </c>
      <c r="F906" s="107" t="s">
        <v>85</v>
      </c>
      <c r="G906" s="19">
        <v>8</v>
      </c>
      <c r="H906" s="19">
        <v>8</v>
      </c>
      <c r="I906" s="73">
        <v>8</v>
      </c>
      <c r="J906" s="98"/>
      <c r="K906" s="14"/>
      <c r="L906" s="14"/>
      <c r="M906" s="14"/>
    </row>
    <row r="907" spans="1:13" ht="60" x14ac:dyDescent="0.25">
      <c r="A907" s="117"/>
      <c r="B907" s="123"/>
      <c r="C907" s="117"/>
      <c r="D907" s="107" t="s">
        <v>829</v>
      </c>
      <c r="E907" s="107" t="s">
        <v>16</v>
      </c>
      <c r="F907" s="107" t="s">
        <v>6</v>
      </c>
      <c r="G907" s="110">
        <v>2.5198899999999997</v>
      </c>
      <c r="H907" s="110">
        <v>2.5198899999999997</v>
      </c>
      <c r="I907" s="80">
        <v>2.4986799999999998</v>
      </c>
      <c r="J907" s="98"/>
      <c r="K907" s="14"/>
      <c r="L907" s="14"/>
      <c r="M907" s="14"/>
    </row>
    <row r="908" spans="1:13" ht="60" x14ac:dyDescent="0.25">
      <c r="A908" s="116" t="s">
        <v>1093</v>
      </c>
      <c r="B908" s="123"/>
      <c r="C908" s="116" t="s">
        <v>208</v>
      </c>
      <c r="D908" s="107" t="s">
        <v>1899</v>
      </c>
      <c r="E908" s="107" t="s">
        <v>228</v>
      </c>
      <c r="F908" s="107" t="s">
        <v>85</v>
      </c>
      <c r="G908" s="19">
        <v>1800</v>
      </c>
      <c r="H908" s="19">
        <v>1800</v>
      </c>
      <c r="I908" s="73">
        <v>1800</v>
      </c>
      <c r="J908" s="98"/>
      <c r="K908" s="14"/>
      <c r="L908" s="14"/>
      <c r="M908" s="14"/>
    </row>
    <row r="909" spans="1:13" ht="60" x14ac:dyDescent="0.25">
      <c r="A909" s="117"/>
      <c r="B909" s="123"/>
      <c r="C909" s="117"/>
      <c r="D909" s="107" t="s">
        <v>826</v>
      </c>
      <c r="E909" s="107" t="s">
        <v>16</v>
      </c>
      <c r="F909" s="107" t="s">
        <v>6</v>
      </c>
      <c r="G909" s="110">
        <v>566.97513000000004</v>
      </c>
      <c r="H909" s="110">
        <v>566.97513000000004</v>
      </c>
      <c r="I909" s="80">
        <v>562.20311000000004</v>
      </c>
      <c r="J909" s="98"/>
      <c r="K909" s="14"/>
      <c r="L909" s="14"/>
      <c r="M909" s="14"/>
    </row>
    <row r="910" spans="1:13" ht="60" x14ac:dyDescent="0.25">
      <c r="A910" s="116" t="s">
        <v>1094</v>
      </c>
      <c r="B910" s="123"/>
      <c r="C910" s="116" t="s">
        <v>208</v>
      </c>
      <c r="D910" s="107" t="s">
        <v>1899</v>
      </c>
      <c r="E910" s="107" t="s">
        <v>229</v>
      </c>
      <c r="F910" s="107" t="s">
        <v>85</v>
      </c>
      <c r="G910" s="19">
        <v>58</v>
      </c>
      <c r="H910" s="19">
        <v>58</v>
      </c>
      <c r="I910" s="73">
        <v>58</v>
      </c>
      <c r="J910" s="98"/>
      <c r="K910" s="14"/>
      <c r="L910" s="14"/>
      <c r="M910" s="14"/>
    </row>
    <row r="911" spans="1:13" ht="60" x14ac:dyDescent="0.25">
      <c r="A911" s="117"/>
      <c r="B911" s="123"/>
      <c r="C911" s="117"/>
      <c r="D911" s="107" t="s">
        <v>826</v>
      </c>
      <c r="E911" s="107" t="s">
        <v>16</v>
      </c>
      <c r="F911" s="107" t="s">
        <v>6</v>
      </c>
      <c r="G911" s="110">
        <v>18.269200000000001</v>
      </c>
      <c r="H911" s="110">
        <v>18.269200000000001</v>
      </c>
      <c r="I911" s="80">
        <v>18.11543</v>
      </c>
      <c r="J911" s="98"/>
      <c r="K911" s="14"/>
      <c r="L911" s="14"/>
      <c r="M911" s="14"/>
    </row>
    <row r="912" spans="1:13" ht="60" x14ac:dyDescent="0.25">
      <c r="A912" s="116" t="s">
        <v>1095</v>
      </c>
      <c r="B912" s="123"/>
      <c r="C912" s="116" t="s">
        <v>212</v>
      </c>
      <c r="D912" s="107" t="s">
        <v>1900</v>
      </c>
      <c r="E912" s="107" t="s">
        <v>213</v>
      </c>
      <c r="F912" s="107" t="s">
        <v>85</v>
      </c>
      <c r="G912" s="19">
        <v>3</v>
      </c>
      <c r="H912" s="19">
        <v>3</v>
      </c>
      <c r="I912" s="73">
        <v>3</v>
      </c>
      <c r="J912" s="98"/>
      <c r="K912" s="14"/>
      <c r="L912" s="14"/>
      <c r="M912" s="14"/>
    </row>
    <row r="913" spans="1:13" ht="60" x14ac:dyDescent="0.25">
      <c r="A913" s="117"/>
      <c r="B913" s="123"/>
      <c r="C913" s="117"/>
      <c r="D913" s="107" t="s">
        <v>829</v>
      </c>
      <c r="E913" s="107" t="s">
        <v>16</v>
      </c>
      <c r="F913" s="107" t="s">
        <v>6</v>
      </c>
      <c r="G913" s="110">
        <v>0.94496000000000002</v>
      </c>
      <c r="H913" s="110">
        <v>0.94496000000000002</v>
      </c>
      <c r="I913" s="80">
        <v>0.93701000000000001</v>
      </c>
      <c r="J913" s="98"/>
      <c r="K913" s="14"/>
      <c r="L913" s="14"/>
      <c r="M913" s="14"/>
    </row>
    <row r="914" spans="1:13" ht="60" x14ac:dyDescent="0.25">
      <c r="A914" s="116" t="s">
        <v>1096</v>
      </c>
      <c r="B914" s="123"/>
      <c r="C914" s="116" t="s">
        <v>212</v>
      </c>
      <c r="D914" s="107" t="s">
        <v>1900</v>
      </c>
      <c r="E914" s="107" t="s">
        <v>291</v>
      </c>
      <c r="F914" s="107" t="s">
        <v>85</v>
      </c>
      <c r="G914" s="19">
        <v>2</v>
      </c>
      <c r="H914" s="19">
        <v>2</v>
      </c>
      <c r="I914" s="73">
        <v>2</v>
      </c>
      <c r="J914" s="98"/>
      <c r="K914" s="14"/>
      <c r="L914" s="14"/>
      <c r="M914" s="14"/>
    </row>
    <row r="915" spans="1:13" ht="60" x14ac:dyDescent="0.25">
      <c r="A915" s="117"/>
      <c r="B915" s="123"/>
      <c r="C915" s="117"/>
      <c r="D915" s="107" t="s">
        <v>826</v>
      </c>
      <c r="E915" s="107" t="s">
        <v>16</v>
      </c>
      <c r="F915" s="107" t="s">
        <v>6</v>
      </c>
      <c r="G915" s="110">
        <v>0.62997000000000003</v>
      </c>
      <c r="H915" s="110">
        <v>0.62997000000000003</v>
      </c>
      <c r="I915" s="80">
        <v>0.62466999999999995</v>
      </c>
      <c r="J915" s="98"/>
      <c r="K915" s="14"/>
      <c r="L915" s="14"/>
      <c r="M915" s="14"/>
    </row>
    <row r="916" spans="1:13" ht="60" x14ac:dyDescent="0.25">
      <c r="A916" s="116" t="s">
        <v>1097</v>
      </c>
      <c r="B916" s="123"/>
      <c r="C916" s="116" t="s">
        <v>214</v>
      </c>
      <c r="D916" s="107" t="s">
        <v>1901</v>
      </c>
      <c r="E916" s="107" t="s">
        <v>285</v>
      </c>
      <c r="F916" s="105" t="s">
        <v>85</v>
      </c>
      <c r="G916" s="19">
        <v>2</v>
      </c>
      <c r="H916" s="19">
        <v>2</v>
      </c>
      <c r="I916" s="73">
        <v>2</v>
      </c>
      <c r="J916" s="98"/>
      <c r="K916" s="14"/>
      <c r="L916" s="14"/>
      <c r="M916" s="14"/>
    </row>
    <row r="917" spans="1:13" ht="60" x14ac:dyDescent="0.25">
      <c r="A917" s="117"/>
      <c r="B917" s="123"/>
      <c r="C917" s="117"/>
      <c r="D917" s="107" t="s">
        <v>826</v>
      </c>
      <c r="E917" s="107" t="s">
        <v>16</v>
      </c>
      <c r="F917" s="107" t="s">
        <v>6</v>
      </c>
      <c r="G917" s="110">
        <v>0.62997000000000003</v>
      </c>
      <c r="H917" s="110">
        <v>0.62997000000000003</v>
      </c>
      <c r="I917" s="80">
        <v>0.62466999999999995</v>
      </c>
      <c r="J917" s="98"/>
      <c r="K917" s="14"/>
      <c r="L917" s="14"/>
      <c r="M917" s="14"/>
    </row>
    <row r="918" spans="1:13" ht="60" x14ac:dyDescent="0.25">
      <c r="A918" s="116" t="s">
        <v>1098</v>
      </c>
      <c r="B918" s="123"/>
      <c r="C918" s="116" t="s">
        <v>118</v>
      </c>
      <c r="D918" s="107" t="s">
        <v>1902</v>
      </c>
      <c r="E918" s="107" t="s">
        <v>830</v>
      </c>
      <c r="F918" s="107" t="s">
        <v>85</v>
      </c>
      <c r="G918" s="19">
        <v>600</v>
      </c>
      <c r="H918" s="19">
        <v>600</v>
      </c>
      <c r="I918" s="73">
        <v>600</v>
      </c>
      <c r="J918" s="98"/>
      <c r="K918" s="14"/>
      <c r="L918" s="14"/>
      <c r="M918" s="14"/>
    </row>
    <row r="919" spans="1:13" ht="60" x14ac:dyDescent="0.25">
      <c r="A919" s="117"/>
      <c r="B919" s="123"/>
      <c r="C919" s="117"/>
      <c r="D919" s="107" t="s">
        <v>826</v>
      </c>
      <c r="E919" s="107" t="s">
        <v>16</v>
      </c>
      <c r="F919" s="107" t="s">
        <v>6</v>
      </c>
      <c r="G919" s="110">
        <v>150</v>
      </c>
      <c r="H919" s="110">
        <v>188.99170999999998</v>
      </c>
      <c r="I919" s="80">
        <v>187.40103999999999</v>
      </c>
      <c r="J919" s="98"/>
      <c r="K919" s="14"/>
      <c r="L919" s="14"/>
      <c r="M919" s="14"/>
    </row>
    <row r="920" spans="1:13" ht="60" x14ac:dyDescent="0.25">
      <c r="A920" s="116" t="s">
        <v>1099</v>
      </c>
      <c r="B920" s="123"/>
      <c r="C920" s="116" t="s">
        <v>118</v>
      </c>
      <c r="D920" s="107" t="s">
        <v>1903</v>
      </c>
      <c r="E920" s="107" t="s">
        <v>2371</v>
      </c>
      <c r="F920" s="107" t="s">
        <v>85</v>
      </c>
      <c r="G920" s="19">
        <v>4100</v>
      </c>
      <c r="H920" s="19">
        <v>4100</v>
      </c>
      <c r="I920" s="73">
        <v>4100</v>
      </c>
      <c r="J920" s="98"/>
      <c r="K920" s="14"/>
      <c r="L920" s="14"/>
      <c r="M920" s="14"/>
    </row>
    <row r="921" spans="1:13" ht="60" x14ac:dyDescent="0.25">
      <c r="A921" s="117"/>
      <c r="B921" s="123"/>
      <c r="C921" s="117"/>
      <c r="D921" s="107" t="s">
        <v>227</v>
      </c>
      <c r="E921" s="107" t="s">
        <v>16</v>
      </c>
      <c r="F921" s="107" t="s">
        <v>6</v>
      </c>
      <c r="G921" s="20">
        <v>800</v>
      </c>
      <c r="H921" s="20">
        <v>1291.44334</v>
      </c>
      <c r="I921" s="76">
        <v>1280.57376</v>
      </c>
      <c r="J921" s="98"/>
      <c r="K921" s="14"/>
      <c r="L921" s="14"/>
      <c r="M921" s="14"/>
    </row>
    <row r="922" spans="1:13" ht="60" x14ac:dyDescent="0.25">
      <c r="A922" s="116" t="s">
        <v>1100</v>
      </c>
      <c r="B922" s="123"/>
      <c r="C922" s="116" t="s">
        <v>215</v>
      </c>
      <c r="D922" s="107" t="s">
        <v>1904</v>
      </c>
      <c r="E922" s="107" t="s">
        <v>292</v>
      </c>
      <c r="F922" s="105" t="s">
        <v>85</v>
      </c>
      <c r="G922" s="19">
        <v>5</v>
      </c>
      <c r="H922" s="19">
        <v>5</v>
      </c>
      <c r="I922" s="73">
        <v>5</v>
      </c>
      <c r="J922" s="98"/>
      <c r="K922" s="14"/>
      <c r="L922" s="14"/>
      <c r="M922" s="14"/>
    </row>
    <row r="923" spans="1:13" ht="60" x14ac:dyDescent="0.25">
      <c r="A923" s="117"/>
      <c r="B923" s="123"/>
      <c r="C923" s="117"/>
      <c r="D923" s="107" t="s">
        <v>826</v>
      </c>
      <c r="E923" s="107" t="s">
        <v>16</v>
      </c>
      <c r="F923" s="107" t="s">
        <v>6</v>
      </c>
      <c r="G923" s="20">
        <v>1</v>
      </c>
      <c r="H923" s="20">
        <v>1.5749300000000002</v>
      </c>
      <c r="I923" s="76">
        <v>1.56168</v>
      </c>
      <c r="J923" s="98"/>
      <c r="K923" s="14"/>
      <c r="L923" s="14"/>
      <c r="M923" s="14"/>
    </row>
    <row r="924" spans="1:13" ht="60" x14ac:dyDescent="0.25">
      <c r="A924" s="116" t="s">
        <v>1101</v>
      </c>
      <c r="B924" s="123"/>
      <c r="C924" s="116" t="s">
        <v>215</v>
      </c>
      <c r="D924" s="107" t="s">
        <v>1904</v>
      </c>
      <c r="E924" s="107" t="s">
        <v>831</v>
      </c>
      <c r="F924" s="105" t="s">
        <v>85</v>
      </c>
      <c r="G924" s="19">
        <v>5</v>
      </c>
      <c r="H924" s="19">
        <v>5</v>
      </c>
      <c r="I924" s="73">
        <v>5</v>
      </c>
      <c r="J924" s="98"/>
      <c r="K924" s="14"/>
      <c r="L924" s="14"/>
      <c r="M924" s="14"/>
    </row>
    <row r="925" spans="1:13" ht="60" x14ac:dyDescent="0.25">
      <c r="A925" s="117"/>
      <c r="B925" s="123"/>
      <c r="C925" s="117"/>
      <c r="D925" s="107" t="s">
        <v>826</v>
      </c>
      <c r="E925" s="107" t="s">
        <v>16</v>
      </c>
      <c r="F925" s="107" t="s">
        <v>6</v>
      </c>
      <c r="G925" s="20">
        <v>1</v>
      </c>
      <c r="H925" s="20">
        <v>1.5749300000000002</v>
      </c>
      <c r="I925" s="76">
        <v>1.56168</v>
      </c>
      <c r="J925" s="98"/>
      <c r="K925" s="14"/>
      <c r="L925" s="14"/>
      <c r="M925" s="14"/>
    </row>
    <row r="926" spans="1:13" ht="60" x14ac:dyDescent="0.25">
      <c r="A926" s="116" t="s">
        <v>1102</v>
      </c>
      <c r="B926" s="123"/>
      <c r="C926" s="116" t="s">
        <v>215</v>
      </c>
      <c r="D926" s="107" t="s">
        <v>1904</v>
      </c>
      <c r="E926" s="107" t="s">
        <v>216</v>
      </c>
      <c r="F926" s="107" t="s">
        <v>85</v>
      </c>
      <c r="G926" s="19">
        <v>1</v>
      </c>
      <c r="H926" s="19">
        <v>1</v>
      </c>
      <c r="I926" s="73">
        <v>1</v>
      </c>
      <c r="J926" s="98"/>
      <c r="K926" s="14"/>
      <c r="L926" s="14"/>
      <c r="M926" s="14"/>
    </row>
    <row r="927" spans="1:13" ht="60" x14ac:dyDescent="0.25">
      <c r="A927" s="117"/>
      <c r="B927" s="123"/>
      <c r="C927" s="117"/>
      <c r="D927" s="107" t="s">
        <v>826</v>
      </c>
      <c r="E927" s="107" t="s">
        <v>16</v>
      </c>
      <c r="F927" s="107" t="s">
        <v>6</v>
      </c>
      <c r="G927" s="20">
        <v>0.31498999999999999</v>
      </c>
      <c r="H927" s="20">
        <v>0.31498999999999999</v>
      </c>
      <c r="I927" s="76">
        <v>0.31233999999999995</v>
      </c>
      <c r="J927" s="98"/>
      <c r="K927" s="14"/>
      <c r="L927" s="14"/>
      <c r="M927" s="14"/>
    </row>
    <row r="928" spans="1:13" ht="60" x14ac:dyDescent="0.25">
      <c r="A928" s="116" t="s">
        <v>1103</v>
      </c>
      <c r="B928" s="123"/>
      <c r="C928" s="116" t="s">
        <v>215</v>
      </c>
      <c r="D928" s="107" t="s">
        <v>1905</v>
      </c>
      <c r="E928" s="107" t="s">
        <v>2372</v>
      </c>
      <c r="F928" s="105" t="s">
        <v>85</v>
      </c>
      <c r="G928" s="19">
        <v>130000</v>
      </c>
      <c r="H928" s="19">
        <v>130000</v>
      </c>
      <c r="I928" s="73">
        <v>130000</v>
      </c>
      <c r="J928" s="98"/>
      <c r="K928" s="14"/>
      <c r="L928" s="14"/>
      <c r="M928" s="14"/>
    </row>
    <row r="929" spans="1:13" ht="60" x14ac:dyDescent="0.25">
      <c r="A929" s="117"/>
      <c r="B929" s="123"/>
      <c r="C929" s="117"/>
      <c r="D929" s="107" t="s">
        <v>826</v>
      </c>
      <c r="E929" s="107" t="s">
        <v>16</v>
      </c>
      <c r="F929" s="107" t="s">
        <v>6</v>
      </c>
      <c r="G929" s="20">
        <f>34678-591.93</f>
        <v>34086.07</v>
      </c>
      <c r="H929" s="20">
        <f>41306.34285-200</f>
        <v>41106.342850000001</v>
      </c>
      <c r="I929" s="76">
        <v>40958.683220000006</v>
      </c>
      <c r="J929" s="98"/>
      <c r="K929" s="14"/>
      <c r="L929" s="14"/>
      <c r="M929" s="14"/>
    </row>
    <row r="930" spans="1:13" ht="60" x14ac:dyDescent="0.25">
      <c r="A930" s="116" t="s">
        <v>1104</v>
      </c>
      <c r="B930" s="123"/>
      <c r="C930" s="116" t="s">
        <v>827</v>
      </c>
      <c r="D930" s="107" t="s">
        <v>1896</v>
      </c>
      <c r="E930" s="107" t="s">
        <v>828</v>
      </c>
      <c r="F930" s="107" t="s">
        <v>54</v>
      </c>
      <c r="G930" s="20">
        <v>1000</v>
      </c>
      <c r="H930" s="20">
        <v>1000</v>
      </c>
      <c r="I930" s="76">
        <v>1000</v>
      </c>
      <c r="J930" s="98"/>
      <c r="K930" s="14"/>
      <c r="L930" s="14"/>
      <c r="M930" s="14"/>
    </row>
    <row r="931" spans="1:13" ht="60" x14ac:dyDescent="0.25">
      <c r="A931" s="117"/>
      <c r="B931" s="123"/>
      <c r="C931" s="117"/>
      <c r="D931" s="107" t="s">
        <v>832</v>
      </c>
      <c r="E931" s="107" t="s">
        <v>16</v>
      </c>
      <c r="F931" s="107" t="s">
        <v>6</v>
      </c>
      <c r="G931" s="20">
        <v>4000</v>
      </c>
      <c r="H931" s="20">
        <v>3123</v>
      </c>
      <c r="I931" s="76">
        <v>3123</v>
      </c>
      <c r="J931" s="98"/>
      <c r="K931" s="14"/>
      <c r="L931" s="14"/>
      <c r="M931" s="14"/>
    </row>
    <row r="932" spans="1:13" ht="60" x14ac:dyDescent="0.25">
      <c r="A932" s="116" t="s">
        <v>1105</v>
      </c>
      <c r="B932" s="123"/>
      <c r="C932" s="116" t="s">
        <v>215</v>
      </c>
      <c r="D932" s="107" t="s">
        <v>1906</v>
      </c>
      <c r="E932" s="107" t="s">
        <v>2372</v>
      </c>
      <c r="F932" s="107" t="s">
        <v>85</v>
      </c>
      <c r="G932" s="19">
        <v>60000</v>
      </c>
      <c r="H932" s="19">
        <v>60000</v>
      </c>
      <c r="I932" s="73">
        <v>60000</v>
      </c>
      <c r="J932" s="98"/>
      <c r="K932" s="14"/>
      <c r="L932" s="14"/>
      <c r="M932" s="14"/>
    </row>
    <row r="933" spans="1:13" ht="60" x14ac:dyDescent="0.25">
      <c r="A933" s="117"/>
      <c r="B933" s="123"/>
      <c r="C933" s="117"/>
      <c r="D933" s="107" t="s">
        <v>832</v>
      </c>
      <c r="E933" s="107" t="s">
        <v>16</v>
      </c>
      <c r="F933" s="107" t="s">
        <v>6</v>
      </c>
      <c r="G933" s="20">
        <v>8240.1</v>
      </c>
      <c r="H933" s="20">
        <v>7083.2713299999996</v>
      </c>
      <c r="I933" s="76">
        <v>7083.2713299999996</v>
      </c>
      <c r="J933" s="98"/>
      <c r="K933" s="14"/>
      <c r="L933" s="14"/>
      <c r="M933" s="14"/>
    </row>
    <row r="934" spans="1:13" ht="60" x14ac:dyDescent="0.25">
      <c r="A934" s="116" t="s">
        <v>1106</v>
      </c>
      <c r="B934" s="123"/>
      <c r="C934" s="116" t="s">
        <v>197</v>
      </c>
      <c r="D934" s="107" t="s">
        <v>1907</v>
      </c>
      <c r="E934" s="107" t="s">
        <v>834</v>
      </c>
      <c r="F934" s="107" t="s">
        <v>54</v>
      </c>
      <c r="G934" s="20">
        <v>11305</v>
      </c>
      <c r="H934" s="20">
        <v>11305</v>
      </c>
      <c r="I934" s="76">
        <v>11305</v>
      </c>
      <c r="J934" s="98"/>
      <c r="K934" s="14"/>
      <c r="L934" s="14"/>
      <c r="M934" s="14"/>
    </row>
    <row r="935" spans="1:13" ht="60" x14ac:dyDescent="0.25">
      <c r="A935" s="117"/>
      <c r="B935" s="123"/>
      <c r="C935" s="117"/>
      <c r="D935" s="107" t="s">
        <v>833</v>
      </c>
      <c r="E935" s="107" t="s">
        <v>16</v>
      </c>
      <c r="F935" s="107" t="s">
        <v>6</v>
      </c>
      <c r="G935" s="20">
        <v>10141.52475</v>
      </c>
      <c r="H935" s="20">
        <v>10141.52475</v>
      </c>
      <c r="I935" s="76">
        <v>9888.1549900000009</v>
      </c>
      <c r="J935" s="98"/>
      <c r="K935" s="14"/>
      <c r="L935" s="14"/>
      <c r="M935" s="14"/>
    </row>
    <row r="936" spans="1:13" ht="60" x14ac:dyDescent="0.25">
      <c r="A936" s="116" t="s">
        <v>1107</v>
      </c>
      <c r="B936" s="123"/>
      <c r="C936" s="116" t="s">
        <v>197</v>
      </c>
      <c r="D936" s="107" t="s">
        <v>1889</v>
      </c>
      <c r="E936" s="107" t="s">
        <v>835</v>
      </c>
      <c r="F936" s="107" t="s">
        <v>54</v>
      </c>
      <c r="G936" s="20">
        <v>1665</v>
      </c>
      <c r="H936" s="20">
        <v>1665</v>
      </c>
      <c r="I936" s="76">
        <v>1665</v>
      </c>
      <c r="J936" s="98"/>
      <c r="K936" s="14"/>
      <c r="L936" s="14"/>
      <c r="M936" s="14"/>
    </row>
    <row r="937" spans="1:13" ht="60" x14ac:dyDescent="0.25">
      <c r="A937" s="117"/>
      <c r="B937" s="123"/>
      <c r="C937" s="117"/>
      <c r="D937" s="107" t="s">
        <v>833</v>
      </c>
      <c r="E937" s="107" t="s">
        <v>16</v>
      </c>
      <c r="F937" s="107" t="s">
        <v>6</v>
      </c>
      <c r="G937" s="20">
        <v>1493.37033</v>
      </c>
      <c r="H937" s="20">
        <v>1493.37033</v>
      </c>
      <c r="I937" s="76">
        <v>1456.06086</v>
      </c>
      <c r="J937" s="98"/>
      <c r="K937" s="14"/>
      <c r="L937" s="14"/>
      <c r="M937" s="14"/>
    </row>
    <row r="938" spans="1:13" ht="60" x14ac:dyDescent="0.25">
      <c r="A938" s="116" t="s">
        <v>1108</v>
      </c>
      <c r="B938" s="123"/>
      <c r="C938" s="116" t="s">
        <v>197</v>
      </c>
      <c r="D938" s="107" t="s">
        <v>1889</v>
      </c>
      <c r="E938" s="107" t="s">
        <v>836</v>
      </c>
      <c r="F938" s="107" t="s">
        <v>54</v>
      </c>
      <c r="G938" s="20">
        <v>1960</v>
      </c>
      <c r="H938" s="20">
        <v>1960</v>
      </c>
      <c r="I938" s="76">
        <v>1960</v>
      </c>
      <c r="J938" s="98"/>
      <c r="K938" s="14"/>
      <c r="L938" s="14"/>
      <c r="M938" s="14"/>
    </row>
    <row r="939" spans="1:13" ht="60" x14ac:dyDescent="0.25">
      <c r="A939" s="117"/>
      <c r="B939" s="123"/>
      <c r="C939" s="117"/>
      <c r="D939" s="107" t="s">
        <v>833</v>
      </c>
      <c r="E939" s="107" t="s">
        <v>16</v>
      </c>
      <c r="F939" s="107" t="s">
        <v>6</v>
      </c>
      <c r="G939" s="20">
        <v>1248.5607500000001</v>
      </c>
      <c r="H939" s="20">
        <v>1758.5607500000001</v>
      </c>
      <c r="I939" s="76">
        <v>1714.62592</v>
      </c>
      <c r="J939" s="98"/>
      <c r="K939" s="14"/>
      <c r="L939" s="14"/>
      <c r="M939" s="14"/>
    </row>
    <row r="940" spans="1:13" ht="60" x14ac:dyDescent="0.25">
      <c r="A940" s="116" t="s">
        <v>1109</v>
      </c>
      <c r="B940" s="123"/>
      <c r="C940" s="116" t="s">
        <v>206</v>
      </c>
      <c r="D940" s="107" t="s">
        <v>1881</v>
      </c>
      <c r="E940" s="107" t="s">
        <v>837</v>
      </c>
      <c r="F940" s="107" t="s">
        <v>80</v>
      </c>
      <c r="G940" s="20">
        <v>45</v>
      </c>
      <c r="H940" s="20">
        <v>45</v>
      </c>
      <c r="I940" s="76">
        <v>45</v>
      </c>
      <c r="J940" s="98"/>
      <c r="K940" s="14"/>
      <c r="L940" s="14"/>
      <c r="M940" s="14"/>
    </row>
    <row r="941" spans="1:13" ht="60" x14ac:dyDescent="0.25">
      <c r="A941" s="117"/>
      <c r="B941" s="123"/>
      <c r="C941" s="117"/>
      <c r="D941" s="107" t="s">
        <v>833</v>
      </c>
      <c r="E941" s="107" t="s">
        <v>16</v>
      </c>
      <c r="F941" s="107" t="s">
        <v>6</v>
      </c>
      <c r="G941" s="20">
        <v>45.826809999999995</v>
      </c>
      <c r="H941" s="20">
        <v>45.826809999999995</v>
      </c>
      <c r="I941" s="76">
        <v>45.506550000000004</v>
      </c>
      <c r="J941" s="98"/>
      <c r="K941" s="14"/>
      <c r="L941" s="14"/>
      <c r="M941" s="14"/>
    </row>
    <row r="942" spans="1:13" ht="90" x14ac:dyDescent="0.25">
      <c r="A942" s="116" t="s">
        <v>1110</v>
      </c>
      <c r="B942" s="123"/>
      <c r="C942" s="116" t="s">
        <v>206</v>
      </c>
      <c r="D942" s="107" t="s">
        <v>1881</v>
      </c>
      <c r="E942" s="107" t="s">
        <v>2373</v>
      </c>
      <c r="F942" s="107" t="s">
        <v>80</v>
      </c>
      <c r="G942" s="20">
        <v>20</v>
      </c>
      <c r="H942" s="20">
        <v>20</v>
      </c>
      <c r="I942" s="76">
        <v>20</v>
      </c>
      <c r="J942" s="98"/>
      <c r="K942" s="14"/>
      <c r="L942" s="14"/>
      <c r="M942" s="14"/>
    </row>
    <row r="943" spans="1:13" ht="60" x14ac:dyDescent="0.25">
      <c r="A943" s="117"/>
      <c r="B943" s="123"/>
      <c r="C943" s="117"/>
      <c r="D943" s="107" t="s">
        <v>833</v>
      </c>
      <c r="E943" s="107" t="s">
        <v>16</v>
      </c>
      <c r="F943" s="107" t="s">
        <v>6</v>
      </c>
      <c r="G943" s="20">
        <v>20.368200000000002</v>
      </c>
      <c r="H943" s="20">
        <v>20.368200000000002</v>
      </c>
      <c r="I943" s="76">
        <v>20.22587</v>
      </c>
      <c r="J943" s="98"/>
      <c r="K943" s="14"/>
      <c r="L943" s="14"/>
      <c r="M943" s="14"/>
    </row>
    <row r="944" spans="1:13" ht="60" x14ac:dyDescent="0.25">
      <c r="A944" s="116" t="s">
        <v>1111</v>
      </c>
      <c r="B944" s="123"/>
      <c r="C944" s="125" t="s">
        <v>838</v>
      </c>
      <c r="D944" s="107" t="s">
        <v>1602</v>
      </c>
      <c r="E944" s="107" t="s">
        <v>36</v>
      </c>
      <c r="F944" s="107" t="s">
        <v>85</v>
      </c>
      <c r="G944" s="19">
        <v>4565</v>
      </c>
      <c r="H944" s="19">
        <v>4565</v>
      </c>
      <c r="I944" s="73">
        <v>4793</v>
      </c>
      <c r="J944" s="98"/>
      <c r="K944" s="14"/>
      <c r="L944" s="14"/>
      <c r="M944" s="14"/>
    </row>
    <row r="945" spans="1:13" ht="77.25" customHeight="1" x14ac:dyDescent="0.25">
      <c r="A945" s="117"/>
      <c r="B945" s="123"/>
      <c r="C945" s="127"/>
      <c r="D945" s="107" t="s">
        <v>833</v>
      </c>
      <c r="E945" s="107" t="s">
        <v>16</v>
      </c>
      <c r="F945" s="107" t="s">
        <v>6</v>
      </c>
      <c r="G945" s="20">
        <v>3912</v>
      </c>
      <c r="H945" s="20">
        <f>4104.09025-651.009999999998</f>
        <v>3453.0802500000023</v>
      </c>
      <c r="I945" s="76">
        <v>4184.9643900000001</v>
      </c>
      <c r="J945" s="98"/>
      <c r="K945" s="14"/>
      <c r="L945" s="14"/>
      <c r="M945" s="14"/>
    </row>
    <row r="946" spans="1:13" ht="60" x14ac:dyDescent="0.25">
      <c r="A946" s="116" t="s">
        <v>1112</v>
      </c>
      <c r="B946" s="123"/>
      <c r="C946" s="116" t="s">
        <v>839</v>
      </c>
      <c r="D946" s="107" t="s">
        <v>1898</v>
      </c>
      <c r="E946" s="107" t="s">
        <v>36</v>
      </c>
      <c r="F946" s="107" t="s">
        <v>85</v>
      </c>
      <c r="G946" s="19">
        <v>5005</v>
      </c>
      <c r="H946" s="19">
        <v>5005</v>
      </c>
      <c r="I946" s="73">
        <v>5255</v>
      </c>
      <c r="J946" s="98"/>
      <c r="K946" s="14"/>
      <c r="L946" s="14"/>
      <c r="M946" s="14"/>
    </row>
    <row r="947" spans="1:13" ht="60" x14ac:dyDescent="0.25">
      <c r="A947" s="117"/>
      <c r="B947" s="123"/>
      <c r="C947" s="117"/>
      <c r="D947" s="107" t="s">
        <v>833</v>
      </c>
      <c r="E947" s="107" t="s">
        <v>16</v>
      </c>
      <c r="F947" s="107" t="s">
        <v>6</v>
      </c>
      <c r="G947" s="20">
        <f>4011+145.95</f>
        <v>4156.95</v>
      </c>
      <c r="H947" s="20">
        <f>4785.66468-284.4</f>
        <v>4501.2646800000002</v>
      </c>
      <c r="I947" s="76">
        <f>4885.67415-284.4</f>
        <v>4601.2741500000002</v>
      </c>
      <c r="J947" s="98"/>
      <c r="K947" s="14"/>
      <c r="L947" s="14"/>
      <c r="M947" s="14"/>
    </row>
    <row r="948" spans="1:13" ht="150" x14ac:dyDescent="0.25">
      <c r="A948" s="116" t="s">
        <v>1113</v>
      </c>
      <c r="B948" s="123"/>
      <c r="C948" s="116" t="s">
        <v>208</v>
      </c>
      <c r="D948" s="107" t="s">
        <v>1899</v>
      </c>
      <c r="E948" s="107" t="s">
        <v>2374</v>
      </c>
      <c r="F948" s="107" t="s">
        <v>85</v>
      </c>
      <c r="G948" s="19">
        <v>39</v>
      </c>
      <c r="H948" s="19">
        <v>39</v>
      </c>
      <c r="I948" s="73">
        <v>39</v>
      </c>
      <c r="J948" s="98"/>
      <c r="K948" s="14"/>
      <c r="L948" s="14"/>
      <c r="M948" s="14"/>
    </row>
    <row r="949" spans="1:13" ht="60" x14ac:dyDescent="0.25">
      <c r="A949" s="117"/>
      <c r="B949" s="123"/>
      <c r="C949" s="117"/>
      <c r="D949" s="107" t="s">
        <v>840</v>
      </c>
      <c r="E949" s="107" t="s">
        <v>16</v>
      </c>
      <c r="F949" s="107" t="s">
        <v>6</v>
      </c>
      <c r="G949" s="20">
        <v>38100</v>
      </c>
      <c r="H949" s="20">
        <f>39008.21898+100</f>
        <v>39108.218979999998</v>
      </c>
      <c r="I949" s="76">
        <v>38671.586819999997</v>
      </c>
      <c r="J949" s="98"/>
      <c r="K949" s="14"/>
      <c r="L949" s="14"/>
      <c r="M949" s="14"/>
    </row>
    <row r="950" spans="1:13" ht="120" x14ac:dyDescent="0.25">
      <c r="A950" s="116" t="s">
        <v>1114</v>
      </c>
      <c r="B950" s="123"/>
      <c r="C950" s="116" t="s">
        <v>841</v>
      </c>
      <c r="D950" s="107" t="s">
        <v>1908</v>
      </c>
      <c r="E950" s="107" t="s">
        <v>2375</v>
      </c>
      <c r="F950" s="107" t="s">
        <v>85</v>
      </c>
      <c r="G950" s="19">
        <v>731</v>
      </c>
      <c r="H950" s="19">
        <v>731</v>
      </c>
      <c r="I950" s="73">
        <v>731</v>
      </c>
      <c r="J950" s="98"/>
      <c r="K950" s="14"/>
      <c r="L950" s="14"/>
      <c r="M950" s="14"/>
    </row>
    <row r="951" spans="1:13" ht="60" x14ac:dyDescent="0.25">
      <c r="A951" s="117"/>
      <c r="B951" s="123"/>
      <c r="C951" s="117"/>
      <c r="D951" s="107" t="s">
        <v>840</v>
      </c>
      <c r="E951" s="107" t="s">
        <v>16</v>
      </c>
      <c r="F951" s="107" t="s">
        <v>6</v>
      </c>
      <c r="G951" s="20">
        <f>20123-187.7</f>
        <v>19935.3</v>
      </c>
      <c r="H951" s="20">
        <f>20608.65902-0.58</f>
        <v>20608.079019999997</v>
      </c>
      <c r="I951" s="76">
        <f>20608.65902-0.58</f>
        <v>20608.079019999997</v>
      </c>
      <c r="J951" s="98"/>
      <c r="K951" s="14"/>
      <c r="L951" s="14"/>
      <c r="M951" s="14"/>
    </row>
    <row r="952" spans="1:13" ht="75" x14ac:dyDescent="0.25">
      <c r="A952" s="116" t="s">
        <v>1115</v>
      </c>
      <c r="B952" s="123"/>
      <c r="C952" s="116" t="s">
        <v>842</v>
      </c>
      <c r="D952" s="107" t="s">
        <v>1909</v>
      </c>
      <c r="E952" s="107" t="s">
        <v>2376</v>
      </c>
      <c r="F952" s="107" t="s">
        <v>80</v>
      </c>
      <c r="G952" s="19">
        <v>8</v>
      </c>
      <c r="H952" s="19">
        <v>8</v>
      </c>
      <c r="I952" s="73">
        <v>11</v>
      </c>
      <c r="J952" s="98"/>
      <c r="K952" s="14"/>
      <c r="L952" s="14"/>
      <c r="M952" s="14"/>
    </row>
    <row r="953" spans="1:13" ht="60" x14ac:dyDescent="0.25">
      <c r="A953" s="117"/>
      <c r="B953" s="123"/>
      <c r="C953" s="117"/>
      <c r="D953" s="107" t="s">
        <v>843</v>
      </c>
      <c r="E953" s="107" t="s">
        <v>16</v>
      </c>
      <c r="F953" s="107" t="s">
        <v>6</v>
      </c>
      <c r="G953" s="20">
        <v>4899.70453</v>
      </c>
      <c r="H953" s="20">
        <v>4899.70453</v>
      </c>
      <c r="I953" s="76">
        <v>5328.26217</v>
      </c>
      <c r="J953" s="98"/>
      <c r="K953" s="14"/>
      <c r="L953" s="14"/>
      <c r="M953" s="14"/>
    </row>
    <row r="954" spans="1:13" ht="120" x14ac:dyDescent="0.25">
      <c r="A954" s="116" t="s">
        <v>1116</v>
      </c>
      <c r="B954" s="123"/>
      <c r="C954" s="116" t="s">
        <v>200</v>
      </c>
      <c r="D954" s="107" t="s">
        <v>1910</v>
      </c>
      <c r="E954" s="107" t="s">
        <v>2377</v>
      </c>
      <c r="F954" s="107" t="s">
        <v>80</v>
      </c>
      <c r="G954" s="19">
        <v>3</v>
      </c>
      <c r="H954" s="19">
        <v>3</v>
      </c>
      <c r="I954" s="73">
        <v>3</v>
      </c>
      <c r="J954" s="98"/>
      <c r="K954" s="14"/>
      <c r="L954" s="14"/>
      <c r="M954" s="14"/>
    </row>
    <row r="955" spans="1:13" ht="60" x14ac:dyDescent="0.25">
      <c r="A955" s="117"/>
      <c r="B955" s="123"/>
      <c r="C955" s="117"/>
      <c r="D955" s="107" t="s">
        <v>843</v>
      </c>
      <c r="E955" s="107" t="s">
        <v>16</v>
      </c>
      <c r="F955" s="107" t="s">
        <v>6</v>
      </c>
      <c r="G955" s="20">
        <v>1837.3891999999998</v>
      </c>
      <c r="H955" s="20">
        <v>1837.3891999999998</v>
      </c>
      <c r="I955" s="76">
        <v>1453.1624099999999</v>
      </c>
      <c r="J955" s="98"/>
      <c r="K955" s="14"/>
      <c r="L955" s="14"/>
      <c r="M955" s="14"/>
    </row>
    <row r="956" spans="1:13" ht="75" x14ac:dyDescent="0.25">
      <c r="A956" s="116" t="s">
        <v>1117</v>
      </c>
      <c r="B956" s="123"/>
      <c r="C956" s="116" t="s">
        <v>193</v>
      </c>
      <c r="D956" s="107" t="s">
        <v>1911</v>
      </c>
      <c r="E956" s="107" t="s">
        <v>2376</v>
      </c>
      <c r="F956" s="107" t="s">
        <v>80</v>
      </c>
      <c r="G956" s="19">
        <v>4</v>
      </c>
      <c r="H956" s="19">
        <v>4</v>
      </c>
      <c r="I956" s="73">
        <v>6</v>
      </c>
      <c r="J956" s="98"/>
      <c r="K956" s="14"/>
      <c r="L956" s="14"/>
      <c r="M956" s="14"/>
    </row>
    <row r="957" spans="1:13" ht="60" x14ac:dyDescent="0.25">
      <c r="A957" s="117"/>
      <c r="B957" s="123"/>
      <c r="C957" s="117"/>
      <c r="D957" s="107" t="s">
        <v>844</v>
      </c>
      <c r="E957" s="107" t="s">
        <v>16</v>
      </c>
      <c r="F957" s="107" t="s">
        <v>6</v>
      </c>
      <c r="G957" s="20">
        <v>2449.8522699999999</v>
      </c>
      <c r="H957" s="20">
        <v>2449.8522699999999</v>
      </c>
      <c r="I957" s="76">
        <v>2906.3248199999998</v>
      </c>
      <c r="J957" s="98"/>
      <c r="K957" s="14"/>
      <c r="L957" s="14"/>
      <c r="M957" s="14"/>
    </row>
    <row r="958" spans="1:13" ht="105" x14ac:dyDescent="0.25">
      <c r="A958" s="116" t="s">
        <v>1118</v>
      </c>
      <c r="B958" s="123"/>
      <c r="C958" s="116" t="s">
        <v>193</v>
      </c>
      <c r="D958" s="107" t="s">
        <v>1912</v>
      </c>
      <c r="E958" s="107" t="s">
        <v>2378</v>
      </c>
      <c r="F958" s="107" t="s">
        <v>80</v>
      </c>
      <c r="G958" s="19">
        <v>15</v>
      </c>
      <c r="H958" s="19">
        <v>15</v>
      </c>
      <c r="I958" s="73">
        <v>13</v>
      </c>
      <c r="J958" s="98"/>
      <c r="K958" s="14"/>
      <c r="L958" s="14"/>
      <c r="M958" s="14"/>
    </row>
    <row r="959" spans="1:13" ht="60" x14ac:dyDescent="0.25">
      <c r="A959" s="117"/>
      <c r="B959" s="123"/>
      <c r="C959" s="117"/>
      <c r="D959" s="107" t="s">
        <v>843</v>
      </c>
      <c r="E959" s="107" t="s">
        <v>16</v>
      </c>
      <c r="F959" s="107" t="s">
        <v>6</v>
      </c>
      <c r="G959" s="20">
        <v>9186.9459999999999</v>
      </c>
      <c r="H959" s="20">
        <v>9186.9459999999999</v>
      </c>
      <c r="I959" s="76">
        <v>6297.0371100000002</v>
      </c>
      <c r="J959" s="98"/>
      <c r="K959" s="14"/>
      <c r="L959" s="14"/>
      <c r="M959" s="14"/>
    </row>
    <row r="960" spans="1:13" ht="60" x14ac:dyDescent="0.25">
      <c r="A960" s="116" t="s">
        <v>1119</v>
      </c>
      <c r="B960" s="123"/>
      <c r="C960" s="116" t="s">
        <v>197</v>
      </c>
      <c r="D960" s="107" t="s">
        <v>1864</v>
      </c>
      <c r="E960" s="107" t="s">
        <v>828</v>
      </c>
      <c r="F960" s="107" t="s">
        <v>54</v>
      </c>
      <c r="G960" s="20">
        <v>8594</v>
      </c>
      <c r="H960" s="20">
        <v>8594</v>
      </c>
      <c r="I960" s="76">
        <v>8594</v>
      </c>
      <c r="J960" s="98"/>
      <c r="K960" s="14"/>
      <c r="L960" s="14"/>
      <c r="M960" s="14"/>
    </row>
    <row r="961" spans="1:13" ht="60" x14ac:dyDescent="0.25">
      <c r="A961" s="117"/>
      <c r="B961" s="123"/>
      <c r="C961" s="117"/>
      <c r="D961" s="107" t="s">
        <v>843</v>
      </c>
      <c r="E961" s="107" t="s">
        <v>16</v>
      </c>
      <c r="F961" s="107" t="s">
        <v>6</v>
      </c>
      <c r="G961" s="20">
        <v>660.44889999999987</v>
      </c>
      <c r="H961" s="20">
        <v>660.44889999999987</v>
      </c>
      <c r="I961" s="76">
        <v>660.44889999999987</v>
      </c>
      <c r="J961" s="98"/>
      <c r="K961" s="14"/>
      <c r="L961" s="14"/>
      <c r="M961" s="14"/>
    </row>
    <row r="962" spans="1:13" ht="60" x14ac:dyDescent="0.25">
      <c r="A962" s="116" t="s">
        <v>1120</v>
      </c>
      <c r="B962" s="123"/>
      <c r="C962" s="116" t="s">
        <v>194</v>
      </c>
      <c r="D962" s="107" t="s">
        <v>1860</v>
      </c>
      <c r="E962" s="107" t="s">
        <v>818</v>
      </c>
      <c r="F962" s="107" t="s">
        <v>80</v>
      </c>
      <c r="G962" s="19">
        <v>30</v>
      </c>
      <c r="H962" s="19">
        <v>30</v>
      </c>
      <c r="I962" s="73">
        <v>33</v>
      </c>
      <c r="J962" s="98"/>
      <c r="K962" s="14"/>
      <c r="L962" s="14"/>
      <c r="M962" s="14"/>
    </row>
    <row r="963" spans="1:13" ht="60" x14ac:dyDescent="0.25">
      <c r="A963" s="117"/>
      <c r="B963" s="123"/>
      <c r="C963" s="117"/>
      <c r="D963" s="107" t="s">
        <v>843</v>
      </c>
      <c r="E963" s="107" t="s">
        <v>16</v>
      </c>
      <c r="F963" s="107" t="s">
        <v>6</v>
      </c>
      <c r="G963" s="20">
        <v>4470.5364</v>
      </c>
      <c r="H963" s="20">
        <v>4470.5364</v>
      </c>
      <c r="I963" s="76">
        <v>4917.59004</v>
      </c>
      <c r="J963" s="98"/>
      <c r="K963" s="14"/>
      <c r="L963" s="14"/>
      <c r="M963" s="14"/>
    </row>
    <row r="964" spans="1:13" ht="60" x14ac:dyDescent="0.25">
      <c r="A964" s="116" t="s">
        <v>1121</v>
      </c>
      <c r="B964" s="123"/>
      <c r="C964" s="116" t="s">
        <v>189</v>
      </c>
      <c r="D964" s="107" t="s">
        <v>1848</v>
      </c>
      <c r="E964" s="107" t="s">
        <v>2379</v>
      </c>
      <c r="F964" s="107" t="s">
        <v>80</v>
      </c>
      <c r="G964" s="19">
        <v>30</v>
      </c>
      <c r="H964" s="19">
        <v>30</v>
      </c>
      <c r="I964" s="73">
        <v>33</v>
      </c>
      <c r="J964" s="98"/>
      <c r="K964" s="14"/>
      <c r="L964" s="14"/>
      <c r="M964" s="14"/>
    </row>
    <row r="965" spans="1:13" ht="60" x14ac:dyDescent="0.25">
      <c r="A965" s="117"/>
      <c r="B965" s="123"/>
      <c r="C965" s="117"/>
      <c r="D965" s="107" t="s">
        <v>843</v>
      </c>
      <c r="E965" s="107" t="s">
        <v>16</v>
      </c>
      <c r="F965" s="107" t="s">
        <v>6</v>
      </c>
      <c r="G965" s="20">
        <v>3123.4802999999997</v>
      </c>
      <c r="H965" s="20">
        <v>3123.4802999999997</v>
      </c>
      <c r="I965" s="76">
        <v>3435.8283299999998</v>
      </c>
      <c r="J965" s="98"/>
      <c r="K965" s="14"/>
      <c r="L965" s="14"/>
      <c r="M965" s="14"/>
    </row>
    <row r="966" spans="1:13" ht="60" x14ac:dyDescent="0.25">
      <c r="A966" s="116" t="s">
        <v>1122</v>
      </c>
      <c r="B966" s="123"/>
      <c r="C966" s="116" t="s">
        <v>190</v>
      </c>
      <c r="D966" s="107" t="s">
        <v>1851</v>
      </c>
      <c r="E966" s="107" t="s">
        <v>845</v>
      </c>
      <c r="F966" s="107" t="s">
        <v>80</v>
      </c>
      <c r="G966" s="19">
        <v>30</v>
      </c>
      <c r="H966" s="19">
        <v>30</v>
      </c>
      <c r="I966" s="73">
        <v>33</v>
      </c>
      <c r="J966" s="98"/>
      <c r="K966" s="14"/>
      <c r="L966" s="14"/>
      <c r="M966" s="14"/>
    </row>
    <row r="967" spans="1:13" ht="60" x14ac:dyDescent="0.25">
      <c r="A967" s="117"/>
      <c r="B967" s="123"/>
      <c r="C967" s="117"/>
      <c r="D967" s="107" t="s">
        <v>843</v>
      </c>
      <c r="E967" s="107" t="s">
        <v>16</v>
      </c>
      <c r="F967" s="107" t="s">
        <v>6</v>
      </c>
      <c r="G967" s="20">
        <f>14411.5032-369.3</f>
        <v>14042.2032</v>
      </c>
      <c r="H967" s="20">
        <v>14411.503199999999</v>
      </c>
      <c r="I967" s="76">
        <v>15852.65352</v>
      </c>
      <c r="J967" s="98"/>
      <c r="K967" s="14"/>
      <c r="L967" s="14"/>
      <c r="M967" s="14"/>
    </row>
    <row r="968" spans="1:13" ht="60" x14ac:dyDescent="0.25">
      <c r="A968" s="116" t="s">
        <v>1123</v>
      </c>
      <c r="B968" s="123"/>
      <c r="C968" s="116" t="s">
        <v>217</v>
      </c>
      <c r="D968" s="107" t="s">
        <v>1913</v>
      </c>
      <c r="E968" s="107" t="s">
        <v>846</v>
      </c>
      <c r="F968" s="107" t="s">
        <v>80</v>
      </c>
      <c r="G968" s="19">
        <v>30</v>
      </c>
      <c r="H968" s="19">
        <v>30</v>
      </c>
      <c r="I968" s="73">
        <v>33</v>
      </c>
      <c r="J968" s="98"/>
      <c r="K968" s="14"/>
      <c r="L968" s="14"/>
      <c r="M968" s="14"/>
    </row>
    <row r="969" spans="1:13" ht="60" x14ac:dyDescent="0.25">
      <c r="A969" s="117"/>
      <c r="B969" s="123"/>
      <c r="C969" s="117"/>
      <c r="D969" s="107" t="s">
        <v>843</v>
      </c>
      <c r="E969" s="107" t="s">
        <v>16</v>
      </c>
      <c r="F969" s="107" t="s">
        <v>6</v>
      </c>
      <c r="G969" s="20">
        <v>660.44220000000007</v>
      </c>
      <c r="H969" s="20">
        <v>660.44220000000007</v>
      </c>
      <c r="I969" s="76">
        <v>726.48640999999998</v>
      </c>
      <c r="J969" s="98"/>
      <c r="K969" s="14"/>
      <c r="L969" s="14"/>
      <c r="M969" s="14"/>
    </row>
    <row r="970" spans="1:13" ht="60" x14ac:dyDescent="0.25">
      <c r="A970" s="116" t="s">
        <v>1124</v>
      </c>
      <c r="B970" s="123"/>
      <c r="C970" s="116" t="s">
        <v>218</v>
      </c>
      <c r="D970" s="107" t="s">
        <v>1914</v>
      </c>
      <c r="E970" s="107" t="s">
        <v>848</v>
      </c>
      <c r="F970" s="107" t="s">
        <v>85</v>
      </c>
      <c r="G970" s="19">
        <v>518</v>
      </c>
      <c r="H970" s="19">
        <v>518</v>
      </c>
      <c r="I970" s="73">
        <v>518</v>
      </c>
      <c r="J970" s="98"/>
      <c r="K970" s="14"/>
      <c r="L970" s="14"/>
      <c r="M970" s="14"/>
    </row>
    <row r="971" spans="1:13" ht="60" x14ac:dyDescent="0.25">
      <c r="A971" s="117"/>
      <c r="B971" s="123"/>
      <c r="C971" s="117"/>
      <c r="D971" s="107" t="s">
        <v>847</v>
      </c>
      <c r="E971" s="107" t="s">
        <v>16</v>
      </c>
      <c r="F971" s="107" t="s">
        <v>6</v>
      </c>
      <c r="G971" s="20">
        <v>792.77645999999993</v>
      </c>
      <c r="H971" s="20">
        <v>792.77645999999993</v>
      </c>
      <c r="I971" s="76">
        <v>792.07104000000004</v>
      </c>
      <c r="J971" s="98"/>
      <c r="K971" s="14"/>
      <c r="L971" s="14"/>
      <c r="M971" s="14"/>
    </row>
    <row r="972" spans="1:13" ht="60" x14ac:dyDescent="0.25">
      <c r="A972" s="116" t="s">
        <v>1125</v>
      </c>
      <c r="B972" s="123"/>
      <c r="C972" s="116" t="s">
        <v>218</v>
      </c>
      <c r="D972" s="107" t="s">
        <v>2380</v>
      </c>
      <c r="E972" s="107" t="s">
        <v>849</v>
      </c>
      <c r="F972" s="107" t="s">
        <v>85</v>
      </c>
      <c r="G972" s="19">
        <v>518</v>
      </c>
      <c r="H972" s="19">
        <v>518</v>
      </c>
      <c r="I972" s="73">
        <v>518</v>
      </c>
      <c r="J972" s="98"/>
      <c r="K972" s="14"/>
      <c r="L972" s="14"/>
      <c r="M972" s="14"/>
    </row>
    <row r="973" spans="1:13" ht="60" x14ac:dyDescent="0.25">
      <c r="A973" s="117"/>
      <c r="B973" s="123"/>
      <c r="C973" s="117"/>
      <c r="D973" s="107" t="s">
        <v>847</v>
      </c>
      <c r="E973" s="107" t="s">
        <v>16</v>
      </c>
      <c r="F973" s="107" t="s">
        <v>6</v>
      </c>
      <c r="G973" s="20">
        <v>792.77645999999993</v>
      </c>
      <c r="H973" s="20">
        <v>792.77645999999993</v>
      </c>
      <c r="I973" s="76">
        <v>792.07104000000004</v>
      </c>
      <c r="J973" s="98"/>
      <c r="K973" s="14"/>
      <c r="L973" s="14"/>
      <c r="M973" s="14"/>
    </row>
    <row r="974" spans="1:13" ht="60" x14ac:dyDescent="0.25">
      <c r="A974" s="116" t="s">
        <v>1126</v>
      </c>
      <c r="B974" s="123"/>
      <c r="C974" s="116" t="s">
        <v>219</v>
      </c>
      <c r="D974" s="107" t="s">
        <v>1915</v>
      </c>
      <c r="E974" s="107" t="s">
        <v>850</v>
      </c>
      <c r="F974" s="107" t="s">
        <v>149</v>
      </c>
      <c r="G974" s="19">
        <v>7</v>
      </c>
      <c r="H974" s="19">
        <v>7</v>
      </c>
      <c r="I974" s="73">
        <v>7</v>
      </c>
      <c r="J974" s="98"/>
      <c r="K974" s="14"/>
      <c r="L974" s="14"/>
      <c r="M974" s="14"/>
    </row>
    <row r="975" spans="1:13" ht="60" x14ac:dyDescent="0.25">
      <c r="A975" s="117"/>
      <c r="B975" s="123"/>
      <c r="C975" s="117"/>
      <c r="D975" s="107" t="s">
        <v>847</v>
      </c>
      <c r="E975" s="107" t="s">
        <v>16</v>
      </c>
      <c r="F975" s="107" t="s">
        <v>6</v>
      </c>
      <c r="G975" s="20">
        <v>10.713200000000001</v>
      </c>
      <c r="H975" s="20">
        <v>10.713200000000001</v>
      </c>
      <c r="I975" s="76">
        <v>10.703659999999999</v>
      </c>
      <c r="J975" s="98"/>
      <c r="K975" s="14"/>
      <c r="L975" s="14"/>
      <c r="M975" s="14"/>
    </row>
    <row r="976" spans="1:13" ht="60" x14ac:dyDescent="0.25">
      <c r="A976" s="116" t="s">
        <v>1127</v>
      </c>
      <c r="B976" s="123"/>
      <c r="C976" s="116" t="s">
        <v>219</v>
      </c>
      <c r="D976" s="107" t="s">
        <v>1916</v>
      </c>
      <c r="E976" s="107" t="s">
        <v>851</v>
      </c>
      <c r="F976" s="107" t="s">
        <v>85</v>
      </c>
      <c r="G976" s="19">
        <v>7</v>
      </c>
      <c r="H976" s="19">
        <v>7</v>
      </c>
      <c r="I976" s="73">
        <v>7</v>
      </c>
      <c r="J976" s="98"/>
      <c r="K976" s="14"/>
      <c r="L976" s="14"/>
      <c r="M976" s="14"/>
    </row>
    <row r="977" spans="1:13" ht="60" x14ac:dyDescent="0.25">
      <c r="A977" s="117"/>
      <c r="B977" s="123"/>
      <c r="C977" s="117"/>
      <c r="D977" s="107" t="s">
        <v>2381</v>
      </c>
      <c r="E977" s="107" t="s">
        <v>16</v>
      </c>
      <c r="F977" s="107" t="s">
        <v>6</v>
      </c>
      <c r="G977" s="20">
        <v>10.713200000000001</v>
      </c>
      <c r="H977" s="20">
        <v>10.713200000000001</v>
      </c>
      <c r="I977" s="76">
        <v>10.703659999999999</v>
      </c>
      <c r="J977" s="98"/>
      <c r="K977" s="14"/>
      <c r="L977" s="14"/>
      <c r="M977" s="14"/>
    </row>
    <row r="978" spans="1:13" ht="60" x14ac:dyDescent="0.25">
      <c r="A978" s="116" t="s">
        <v>1128</v>
      </c>
      <c r="B978" s="123"/>
      <c r="C978" s="116" t="s">
        <v>84</v>
      </c>
      <c r="D978" s="107" t="s">
        <v>1917</v>
      </c>
      <c r="E978" s="107" t="s">
        <v>848</v>
      </c>
      <c r="F978" s="107" t="s">
        <v>85</v>
      </c>
      <c r="G978" s="19">
        <v>8127</v>
      </c>
      <c r="H978" s="19">
        <v>8127</v>
      </c>
      <c r="I978" s="73">
        <v>8127</v>
      </c>
      <c r="J978" s="98"/>
      <c r="K978" s="14"/>
      <c r="L978" s="14"/>
      <c r="M978" s="14"/>
    </row>
    <row r="979" spans="1:13" ht="60" x14ac:dyDescent="0.25">
      <c r="A979" s="117"/>
      <c r="B979" s="123"/>
      <c r="C979" s="117"/>
      <c r="D979" s="107" t="s">
        <v>847</v>
      </c>
      <c r="E979" s="107" t="s">
        <v>16</v>
      </c>
      <c r="F979" s="107" t="s">
        <v>6</v>
      </c>
      <c r="G979" s="20">
        <v>10300</v>
      </c>
      <c r="H979" s="20">
        <v>12490.389849999996</v>
      </c>
      <c r="I979" s="76">
        <v>12426.952449999999</v>
      </c>
      <c r="J979" s="98"/>
      <c r="K979" s="14"/>
      <c r="L979" s="14"/>
      <c r="M979" s="14"/>
    </row>
    <row r="980" spans="1:13" ht="60" x14ac:dyDescent="0.25">
      <c r="A980" s="116" t="s">
        <v>1129</v>
      </c>
      <c r="B980" s="123"/>
      <c r="C980" s="116" t="s">
        <v>84</v>
      </c>
      <c r="D980" s="107" t="s">
        <v>1918</v>
      </c>
      <c r="E980" s="107" t="s">
        <v>849</v>
      </c>
      <c r="F980" s="107" t="s">
        <v>85</v>
      </c>
      <c r="G980" s="19">
        <v>8127</v>
      </c>
      <c r="H980" s="19">
        <v>8127</v>
      </c>
      <c r="I980" s="73">
        <v>8127</v>
      </c>
      <c r="J980" s="98"/>
      <c r="K980" s="14"/>
      <c r="L980" s="14"/>
      <c r="M980" s="14"/>
    </row>
    <row r="981" spans="1:13" ht="60" x14ac:dyDescent="0.25">
      <c r="A981" s="117"/>
      <c r="B981" s="123"/>
      <c r="C981" s="117"/>
      <c r="D981" s="107" t="s">
        <v>847</v>
      </c>
      <c r="E981" s="107" t="s">
        <v>16</v>
      </c>
      <c r="F981" s="107" t="s">
        <v>6</v>
      </c>
      <c r="G981" s="20">
        <f>11700-1699.27</f>
        <v>10000.73</v>
      </c>
      <c r="H981" s="20">
        <v>12438.019849999999</v>
      </c>
      <c r="I981" s="76">
        <v>12426.952449999999</v>
      </c>
      <c r="J981" s="98"/>
      <c r="K981" s="14"/>
      <c r="L981" s="14"/>
      <c r="M981" s="14"/>
    </row>
    <row r="982" spans="1:13" ht="60" x14ac:dyDescent="0.25">
      <c r="A982" s="116" t="s">
        <v>1130</v>
      </c>
      <c r="B982" s="123"/>
      <c r="C982" s="116" t="s">
        <v>220</v>
      </c>
      <c r="D982" s="107" t="s">
        <v>2382</v>
      </c>
      <c r="E982" s="107" t="s">
        <v>221</v>
      </c>
      <c r="F982" s="107" t="s">
        <v>293</v>
      </c>
      <c r="G982" s="20">
        <v>13853</v>
      </c>
      <c r="H982" s="20">
        <v>13853</v>
      </c>
      <c r="I982" s="76">
        <v>13300</v>
      </c>
      <c r="J982" s="98"/>
      <c r="K982" s="14"/>
      <c r="L982" s="14"/>
      <c r="M982" s="14"/>
    </row>
    <row r="983" spans="1:13" ht="60" x14ac:dyDescent="0.25">
      <c r="A983" s="117"/>
      <c r="B983" s="123"/>
      <c r="C983" s="117"/>
      <c r="D983" s="107" t="s">
        <v>847</v>
      </c>
      <c r="E983" s="107" t="s">
        <v>16</v>
      </c>
      <c r="F983" s="107" t="s">
        <v>6</v>
      </c>
      <c r="G983" s="20">
        <v>7300</v>
      </c>
      <c r="H983" s="20">
        <f>8526.79856-0.18</f>
        <v>8526.618559999999</v>
      </c>
      <c r="I983" s="76">
        <f>8186.416+7.87</f>
        <v>8194.2860000000001</v>
      </c>
      <c r="J983" s="98"/>
      <c r="K983" s="14"/>
      <c r="L983" s="14"/>
      <c r="M983" s="14"/>
    </row>
    <row r="984" spans="1:13" ht="60" x14ac:dyDescent="0.25">
      <c r="A984" s="116" t="s">
        <v>1131</v>
      </c>
      <c r="B984" s="123"/>
      <c r="C984" s="116" t="s">
        <v>222</v>
      </c>
      <c r="D984" s="107" t="s">
        <v>1919</v>
      </c>
      <c r="E984" s="107" t="s">
        <v>230</v>
      </c>
      <c r="F984" s="107" t="s">
        <v>85</v>
      </c>
      <c r="G984" s="4">
        <v>200</v>
      </c>
      <c r="H984" s="4">
        <v>200</v>
      </c>
      <c r="I984" s="86">
        <v>200</v>
      </c>
      <c r="J984" s="98"/>
      <c r="K984" s="14"/>
      <c r="L984" s="14"/>
      <c r="M984" s="14"/>
    </row>
    <row r="985" spans="1:13" ht="60" x14ac:dyDescent="0.25">
      <c r="A985" s="117"/>
      <c r="B985" s="124"/>
      <c r="C985" s="117"/>
      <c r="D985" s="107" t="s">
        <v>847</v>
      </c>
      <c r="E985" s="107" t="s">
        <v>16</v>
      </c>
      <c r="F985" s="107" t="s">
        <v>6</v>
      </c>
      <c r="G985" s="20">
        <v>306.09129999999999</v>
      </c>
      <c r="H985" s="20">
        <v>306.10129999999998</v>
      </c>
      <c r="I985" s="76">
        <v>305.81894</v>
      </c>
      <c r="J985" s="98"/>
      <c r="K985" s="14"/>
      <c r="L985" s="14"/>
      <c r="M985" s="14"/>
    </row>
    <row r="986" spans="1:13" s="58" customFormat="1" ht="23.25" customHeight="1" x14ac:dyDescent="0.25">
      <c r="A986" s="144" t="s">
        <v>1132</v>
      </c>
      <c r="B986" s="145"/>
      <c r="C986" s="145"/>
      <c r="D986" s="147"/>
      <c r="E986" s="128" t="s">
        <v>17</v>
      </c>
      <c r="F986" s="128" t="s">
        <v>6</v>
      </c>
      <c r="G986" s="62">
        <f>+G421+G423+G425+G427+G429+G431+G433+G435+G437+G439+G441+G443+G445+G447+G449+G451+G453+G455+G457+G459+G463+G465+G467+G469+G471+G473+G475+G477+G479+G481+G483+G485+G487+G489+G491+G493+G495+G497+G499+G501+G503+G505+G507+G509+G511+G513+G515+G517+G519+G521+G523+G525+G527+G529+G531+G533+G535+G537+G539+G541+G543+G545+G547+G549+G551+G553+G555+G557+G559+G561+G563+G565+G567+G569+G571+G573+G575+G577+G579+G581+G583+G585+G587+G589+G591+G593+G595+G597+G599+G601+G603+G605+G607+G609+G611+G613+G615+G617+G619+G621+G623+G625+G627+G629+G631+G633+G635+G637+G639+G641+G643+G645+G647+G649+G651+G653+G655+G657+G659+G661+G663+G665+G667+G669+G671+G673+G675+G677+G679+G681+G683+G685+G687+G689+G691+G693+G695+G697+G699+G701+G703+G705++G707+G709+G711+G713+G715+G717+G719+G721+G723+G725+G727+G729+G731+G733+G735+G737+G739+G741+G743+G745+G747+G749+G751+G753+G755+G757+G759+G761+G763+G765+G767+G769+G771+G773+G775+G777+G779+G781+G783+G785+G787+G789+G791+G793+G795+G797+G799+G801+G803+G805+G807+G809+G811+G813+G815+G817+G819+G821+G823+G825+G827+G829+G831+G833+G835+G837+G839+G841+G845+G847+G849+G851+G853+G855+G857+G859+G861+G863+G865+G867+G869+G871+G873+G875+G877+G879+G881+G883+G885+G887+G889+G891+G893+G895+G897+G899+G901+G903+G905+G907+G909+G911+G913+G915+G917+G919+G921+G923+G925+G927+G929+G931+G933+G935+G937+G939+G941+G943+G945+G947+G949+G951+G953+G955+G957+G959+G963+G961+G965+G967+G969+G971+G973+G975+G977+G979+G981+G983+G985+G461+G843</f>
        <v>2160150.6044505765</v>
      </c>
      <c r="H986" s="59">
        <f>+H421+H423+H425+H427+H429+H431+H433+H435+H437+H439+H441+H443+H445+H447+H449+H451+H453+H455+H457+H459+H461+H463+H465+H467+H469+H471+H473+H475+H477+H479+H481+H483+H485+H487+H489+H491+H493+H495+H497+H499+H501+H503+H505+H507+H509+H511+H513+H515+H517+H519+H521+H523+H525+H527+H529+H531+H533+H535+H537+H539+H541+H543+H545+H547+H549+H551+H553+H555+H557+H559+H561+H563+H565+H567+H569+H571+H573+H575+H577+H579+H581+H583+H585+H587+H589+H591+H593+H595+H597+H599+H601+H603+H605+H607+H609+H611+H613+H615+H617+H619+H621+H623+H625+H627+H629+H631+H633+H635+H637+H639+H641+H643+H645+H647+H649+H651+H653+H655+H657+H659+H661+H663+H665+H667+H669+H671+H673+H675+H677+H679+H681+H683+H685+H687+H689+H691+H693+H695+H697+H699+H701+H703+H705+H707+H709+H711+H713+H715+H717+H719+H721+H723+H725+H727+H729+H731+H733+H735+H737+H739+H741+H743+H745+H747+H749+H751+H753+H755+H757+H759+H761+H763+H765+H767+H769+H771+H773+H775+H777+H779+H781+H783+H785+H787+H789+H791+H793+H795+H797+H799+H801+H803+H805+H807+H809+H811+H813+H815+H817+H819+H821+H823+H825+H827+H829+H831+H833+H835+H837+H839+H841+H843+H845+H847+H849+H851+H853+H855+H857+H859+H861+H863+H865+H867+H869+H871+H873+H875++H877+H879+H881+H883+H885+H887+H889+H891+H893+H895+H897+H899+H901+H903+H905+H907+H909+H911+H913+H915+H917+H919+H921+H923+H925+H927+H929+H931+H933+H935+H937+H939+H941+H943+H945+H947+H949+H951+H953+H955+H957+H959+H961+H963+H965+H967+H969+H971+H973+H975+H977+H979+H981+H983+H985</f>
        <v>2262352.2007980011</v>
      </c>
      <c r="I986" s="81">
        <f>+I421+I423+I425+I427++I429+I431+I433+I435+I437+I439+I441+I443+I445+I447+I449+I451+I453+I455+I457+I459+I461+I463+I465+I467+I469+I471+I473+I475+I477+I479+I481+I483+I485+I487+I489+I491+I493+I495+I497+I499+I501+I503+I505+I507+I509+I511+I513+I515+I517+I519+I521+I523+I525+I527+I529+I531+I533+I535+I537+I539+I541+I543+I545+I547+I549+I551+I553+I555+I557+I559+I561+I563+I565+I567+I569+I571+I573+I575+I577+I579+I581+I583+I585+I587+I589+I591+I593+I595+I597+I599+I601+I603+I605+I607+I609+I611+I613+I615+I617+I619+I621+I623+I625+I627+I629+I631+I633+I635+I637+I639+I641+I643+I645+I647+I649+I651+I653+I655+I657+I659+I661+I663+I665+I667+I669+I671+I673+I675+I677+I679+I681+I683+I685+I687+I689+I691+I693+I695+I697+I699+I701+I703+I705+I707+I709+I711+I713+I715+I717+I719+I721+I723+I725+I727+I729+I731+I733+I735+I737+I739+I741+I743+I745+I747+I749+I751+I753+I755+I757+I759+I761+I763+I765+I767+I769+I771+I773+I775+I777+I779+I781+I783+I785+I787+I789+I791+I793+I795+I797+I799+I801+I803+I805+I807+I809+I811+I813+I815+I817+I819+I821+I823+I825+I827+I829+I831+I833+I835+I837+I839+I841+I843+I845+I847+I849+I851+I853+I855+I857+I859+I861+I863+I865+I867+I869+I871+I873+I875+I877+I879+I881+I883+I885+I887+I889+I891+I893+I895+I897+I899+I901+I903+I905+I907+I909+I911+I913+I915+I917+I919+I921+I923+I925+I927+I929+I931+I933+I935+I937+I939+I941+I943+I945+I947+I949+I951+I953+I955+I957+I959+I961+I963+I965+I967+I969+I971+I973+I975+I977+I979+I981+I983+I985</f>
        <v>2254251.721640469</v>
      </c>
      <c r="J986" s="98"/>
      <c r="K986" s="57"/>
      <c r="L986" s="57"/>
      <c r="M986" s="57"/>
    </row>
    <row r="987" spans="1:13" s="58" customFormat="1" ht="40.5" customHeight="1" x14ac:dyDescent="0.25">
      <c r="A987" s="144" t="s">
        <v>1133</v>
      </c>
      <c r="B987" s="145"/>
      <c r="C987" s="145"/>
      <c r="D987" s="147"/>
      <c r="E987" s="129"/>
      <c r="F987" s="129"/>
      <c r="G987" s="62">
        <f>+G986</f>
        <v>2160150.6044505765</v>
      </c>
      <c r="H987" s="62">
        <f>+H986</f>
        <v>2262352.2007980011</v>
      </c>
      <c r="I987" s="75">
        <f>+I986</f>
        <v>2254251.721640469</v>
      </c>
      <c r="J987" s="98"/>
      <c r="K987" s="57"/>
      <c r="L987" s="57"/>
      <c r="M987" s="57"/>
    </row>
    <row r="988" spans="1:13" ht="19.5" customHeight="1" x14ac:dyDescent="0.25">
      <c r="A988" s="172" t="s">
        <v>280</v>
      </c>
      <c r="B988" s="172"/>
      <c r="C988" s="172"/>
      <c r="D988" s="172"/>
      <c r="E988" s="172"/>
      <c r="F988" s="172"/>
      <c r="G988" s="172"/>
      <c r="H988" s="172"/>
      <c r="I988" s="172"/>
      <c r="J988" s="315"/>
      <c r="K988" s="14"/>
      <c r="L988" s="14"/>
      <c r="M988" s="14"/>
    </row>
    <row r="989" spans="1:13" ht="126" customHeight="1" x14ac:dyDescent="0.25">
      <c r="A989" s="116" t="s">
        <v>1134</v>
      </c>
      <c r="B989" s="122" t="s">
        <v>236</v>
      </c>
      <c r="C989" s="116" t="s">
        <v>220</v>
      </c>
      <c r="D989" s="107" t="s">
        <v>1920</v>
      </c>
      <c r="E989" s="43" t="s">
        <v>1138</v>
      </c>
      <c r="F989" s="107" t="s">
        <v>85</v>
      </c>
      <c r="G989" s="19">
        <v>9700</v>
      </c>
      <c r="H989" s="19">
        <v>9700</v>
      </c>
      <c r="I989" s="73">
        <v>9700</v>
      </c>
      <c r="J989" s="98"/>
      <c r="K989" s="14"/>
      <c r="L989" s="14"/>
      <c r="M989" s="14"/>
    </row>
    <row r="990" spans="1:13" ht="63" customHeight="1" x14ac:dyDescent="0.25">
      <c r="A990" s="117"/>
      <c r="B990" s="123"/>
      <c r="C990" s="117"/>
      <c r="D990" s="107" t="s">
        <v>1139</v>
      </c>
      <c r="E990" s="107" t="s">
        <v>17</v>
      </c>
      <c r="F990" s="107" t="s">
        <v>6</v>
      </c>
      <c r="G990" s="20">
        <v>4451.8</v>
      </c>
      <c r="H990" s="20">
        <v>4729.6000000000004</v>
      </c>
      <c r="I990" s="76">
        <v>4729.6000000000004</v>
      </c>
      <c r="J990" s="98"/>
      <c r="K990" s="14"/>
      <c r="L990" s="14"/>
      <c r="M990" s="14"/>
    </row>
    <row r="991" spans="1:13" ht="59.25" customHeight="1" x14ac:dyDescent="0.25">
      <c r="A991" s="116" t="s">
        <v>1135</v>
      </c>
      <c r="B991" s="123"/>
      <c r="C991" s="116" t="s">
        <v>126</v>
      </c>
      <c r="D991" s="107" t="s">
        <v>1921</v>
      </c>
      <c r="E991" s="105" t="s">
        <v>2143</v>
      </c>
      <c r="F991" s="107" t="s">
        <v>237</v>
      </c>
      <c r="G991" s="20">
        <v>3642.71</v>
      </c>
      <c r="H991" s="20">
        <v>3642.71</v>
      </c>
      <c r="I991" s="76">
        <v>3642.71</v>
      </c>
      <c r="J991" s="98"/>
      <c r="K991" s="14"/>
      <c r="L991" s="14"/>
      <c r="M991" s="14"/>
    </row>
    <row r="992" spans="1:13" ht="61.5" customHeight="1" x14ac:dyDescent="0.25">
      <c r="A992" s="117"/>
      <c r="B992" s="123"/>
      <c r="C992" s="117"/>
      <c r="D992" s="107" t="s">
        <v>1139</v>
      </c>
      <c r="E992" s="107" t="s">
        <v>17</v>
      </c>
      <c r="F992" s="107" t="s">
        <v>6</v>
      </c>
      <c r="G992" s="20">
        <v>14737.8</v>
      </c>
      <c r="H992" s="20">
        <v>15657.5</v>
      </c>
      <c r="I992" s="76">
        <v>15657.5</v>
      </c>
      <c r="J992" s="98"/>
      <c r="K992" s="14"/>
      <c r="L992" s="14"/>
      <c r="M992" s="14"/>
    </row>
    <row r="993" spans="1:13" ht="15" customHeight="1" x14ac:dyDescent="0.25">
      <c r="A993" s="116" t="s">
        <v>1136</v>
      </c>
      <c r="B993" s="123"/>
      <c r="C993" s="116" t="s">
        <v>118</v>
      </c>
      <c r="D993" s="116" t="s">
        <v>1903</v>
      </c>
      <c r="E993" s="46" t="s">
        <v>238</v>
      </c>
      <c r="F993" s="107" t="s">
        <v>239</v>
      </c>
      <c r="G993" s="19">
        <v>3500</v>
      </c>
      <c r="H993" s="19">
        <v>3500</v>
      </c>
      <c r="I993" s="73">
        <v>3500</v>
      </c>
      <c r="J993" s="98"/>
      <c r="K993" s="14"/>
      <c r="L993" s="14"/>
      <c r="M993" s="14"/>
    </row>
    <row r="994" spans="1:13" ht="21" customHeight="1" x14ac:dyDescent="0.25">
      <c r="A994" s="118"/>
      <c r="B994" s="123"/>
      <c r="C994" s="118"/>
      <c r="D994" s="118"/>
      <c r="E994" s="104" t="s">
        <v>144</v>
      </c>
      <c r="F994" s="107" t="s">
        <v>239</v>
      </c>
      <c r="G994" s="19">
        <v>156</v>
      </c>
      <c r="H994" s="19">
        <v>156</v>
      </c>
      <c r="I994" s="73">
        <v>156</v>
      </c>
      <c r="J994" s="98"/>
      <c r="K994" s="14"/>
      <c r="L994" s="14"/>
      <c r="M994" s="14"/>
    </row>
    <row r="995" spans="1:13" ht="27" customHeight="1" x14ac:dyDescent="0.25">
      <c r="A995" s="118"/>
      <c r="B995" s="123"/>
      <c r="C995" s="118"/>
      <c r="D995" s="117"/>
      <c r="E995" s="107" t="s">
        <v>240</v>
      </c>
      <c r="F995" s="107" t="s">
        <v>2144</v>
      </c>
      <c r="G995" s="19">
        <v>4</v>
      </c>
      <c r="H995" s="19">
        <v>4</v>
      </c>
      <c r="I995" s="73">
        <v>4</v>
      </c>
      <c r="J995" s="98"/>
      <c r="K995" s="14"/>
      <c r="L995" s="14"/>
      <c r="M995" s="14"/>
    </row>
    <row r="996" spans="1:13" ht="72.75" customHeight="1" x14ac:dyDescent="0.25">
      <c r="A996" s="117"/>
      <c r="B996" s="123"/>
      <c r="C996" s="117"/>
      <c r="D996" s="99" t="s">
        <v>281</v>
      </c>
      <c r="E996" s="107" t="s">
        <v>17</v>
      </c>
      <c r="F996" s="107" t="s">
        <v>6</v>
      </c>
      <c r="G996" s="20">
        <v>7488.1</v>
      </c>
      <c r="H996" s="20">
        <v>7488.1</v>
      </c>
      <c r="I996" s="76">
        <v>7488.1</v>
      </c>
      <c r="J996" s="98"/>
      <c r="K996" s="14"/>
      <c r="L996" s="14"/>
      <c r="M996" s="14"/>
    </row>
    <row r="997" spans="1:13" ht="15" customHeight="1" x14ac:dyDescent="0.25">
      <c r="A997" s="116" t="s">
        <v>1137</v>
      </c>
      <c r="B997" s="123"/>
      <c r="C997" s="116" t="s">
        <v>118</v>
      </c>
      <c r="D997" s="116" t="s">
        <v>1903</v>
      </c>
      <c r="E997" s="107" t="s">
        <v>238</v>
      </c>
      <c r="F997" s="107" t="s">
        <v>239</v>
      </c>
      <c r="G997" s="19">
        <v>2600</v>
      </c>
      <c r="H997" s="19">
        <v>2600</v>
      </c>
      <c r="I997" s="73">
        <v>2600</v>
      </c>
      <c r="J997" s="98"/>
      <c r="K997" s="14"/>
      <c r="L997" s="14"/>
      <c r="M997" s="14"/>
    </row>
    <row r="998" spans="1:13" ht="19.5" customHeight="1" x14ac:dyDescent="0.25">
      <c r="A998" s="118"/>
      <c r="B998" s="123"/>
      <c r="C998" s="118"/>
      <c r="D998" s="118"/>
      <c r="E998" s="107" t="s">
        <v>144</v>
      </c>
      <c r="F998" s="107" t="s">
        <v>239</v>
      </c>
      <c r="G998" s="19">
        <v>52</v>
      </c>
      <c r="H998" s="19">
        <v>52</v>
      </c>
      <c r="I998" s="73">
        <v>52</v>
      </c>
      <c r="J998" s="98"/>
      <c r="K998" s="14"/>
      <c r="L998" s="14"/>
      <c r="M998" s="14"/>
    </row>
    <row r="999" spans="1:13" ht="12" customHeight="1" x14ac:dyDescent="0.25">
      <c r="A999" s="118"/>
      <c r="B999" s="123"/>
      <c r="C999" s="118"/>
      <c r="D999" s="118"/>
      <c r="E999" s="119" t="s">
        <v>240</v>
      </c>
      <c r="F999" s="116" t="s">
        <v>2144</v>
      </c>
      <c r="G999" s="142">
        <v>16</v>
      </c>
      <c r="H999" s="19">
        <v>16</v>
      </c>
      <c r="I999" s="73">
        <v>16</v>
      </c>
      <c r="J999" s="98"/>
      <c r="K999" s="14"/>
      <c r="L999" s="14"/>
      <c r="M999" s="14"/>
    </row>
    <row r="1000" spans="1:13" ht="12" customHeight="1" x14ac:dyDescent="0.25">
      <c r="A1000" s="118"/>
      <c r="B1000" s="123"/>
      <c r="C1000" s="118"/>
      <c r="D1000" s="117"/>
      <c r="E1000" s="121"/>
      <c r="F1000" s="117"/>
      <c r="G1000" s="143"/>
      <c r="H1000" s="19">
        <v>8</v>
      </c>
      <c r="I1000" s="73">
        <v>8</v>
      </c>
      <c r="J1000" s="98"/>
      <c r="K1000" s="14"/>
      <c r="L1000" s="14"/>
      <c r="M1000" s="14"/>
    </row>
    <row r="1001" spans="1:13" ht="60" x14ac:dyDescent="0.25">
      <c r="A1001" s="117"/>
      <c r="B1001" s="124"/>
      <c r="C1001" s="118"/>
      <c r="D1001" s="99" t="s">
        <v>282</v>
      </c>
      <c r="E1001" s="107" t="s">
        <v>17</v>
      </c>
      <c r="F1001" s="107" t="s">
        <v>6</v>
      </c>
      <c r="G1001" s="6">
        <v>7483.4</v>
      </c>
      <c r="H1001" s="6" t="s">
        <v>241</v>
      </c>
      <c r="I1001" s="87">
        <v>7483.4</v>
      </c>
      <c r="J1001" s="98"/>
      <c r="K1001" s="14"/>
      <c r="L1001" s="14"/>
      <c r="M1001" s="14"/>
    </row>
    <row r="1002" spans="1:13" ht="57" x14ac:dyDescent="0.25">
      <c r="A1002" s="144" t="s">
        <v>1140</v>
      </c>
      <c r="B1002" s="145"/>
      <c r="C1002" s="145"/>
      <c r="D1002" s="147"/>
      <c r="E1002" s="10" t="s">
        <v>17</v>
      </c>
      <c r="F1002" s="10" t="s">
        <v>6</v>
      </c>
      <c r="G1002" s="59">
        <f>G990+G992+G996+G1001</f>
        <v>34161.1</v>
      </c>
      <c r="H1002" s="59">
        <f>H990+H992+H996+H1001</f>
        <v>35358.6</v>
      </c>
      <c r="I1002" s="81">
        <f>I990+I992+I996+I1001</f>
        <v>35358.6</v>
      </c>
      <c r="J1002" s="98"/>
      <c r="K1002" s="14"/>
      <c r="L1002" s="14"/>
      <c r="M1002" s="14"/>
    </row>
    <row r="1003" spans="1:13" ht="60" x14ac:dyDescent="0.25">
      <c r="A1003" s="130" t="s">
        <v>1141</v>
      </c>
      <c r="B1003" s="122" t="s">
        <v>242</v>
      </c>
      <c r="C1003" s="119" t="s">
        <v>1148</v>
      </c>
      <c r="D1003" s="107" t="s">
        <v>1922</v>
      </c>
      <c r="E1003" s="105" t="s">
        <v>1146</v>
      </c>
      <c r="F1003" s="107" t="s">
        <v>54</v>
      </c>
      <c r="G1003" s="107" t="s">
        <v>536</v>
      </c>
      <c r="H1003" s="20">
        <v>14694</v>
      </c>
      <c r="I1003" s="76">
        <v>14694</v>
      </c>
      <c r="J1003" s="98"/>
      <c r="K1003" s="14"/>
      <c r="L1003" s="14"/>
      <c r="M1003" s="14"/>
    </row>
    <row r="1004" spans="1:13" ht="60" x14ac:dyDescent="0.25">
      <c r="A1004" s="130"/>
      <c r="B1004" s="123"/>
      <c r="C1004" s="121"/>
      <c r="D1004" s="107" t="s">
        <v>1147</v>
      </c>
      <c r="E1004" s="107" t="s">
        <v>17</v>
      </c>
      <c r="F1004" s="107" t="s">
        <v>6</v>
      </c>
      <c r="G1004" s="107" t="s">
        <v>536</v>
      </c>
      <c r="H1004" s="20">
        <v>2545.7399999999998</v>
      </c>
      <c r="I1004" s="76">
        <v>2545.7399999999998</v>
      </c>
      <c r="J1004" s="98"/>
      <c r="K1004" s="14"/>
      <c r="L1004" s="14"/>
      <c r="M1004" s="14"/>
    </row>
    <row r="1005" spans="1:13" ht="60" x14ac:dyDescent="0.25">
      <c r="A1005" s="130" t="s">
        <v>1142</v>
      </c>
      <c r="B1005" s="123"/>
      <c r="C1005" s="119" t="s">
        <v>203</v>
      </c>
      <c r="D1005" s="107" t="s">
        <v>1881</v>
      </c>
      <c r="E1005" s="105" t="s">
        <v>36</v>
      </c>
      <c r="F1005" s="107" t="s">
        <v>85</v>
      </c>
      <c r="G1005" s="107" t="s">
        <v>536</v>
      </c>
      <c r="H1005" s="111">
        <v>4</v>
      </c>
      <c r="I1005" s="77">
        <v>4</v>
      </c>
      <c r="J1005" s="98"/>
      <c r="K1005" s="14"/>
      <c r="L1005" s="14"/>
      <c r="M1005" s="14"/>
    </row>
    <row r="1006" spans="1:13" ht="60" x14ac:dyDescent="0.25">
      <c r="A1006" s="130"/>
      <c r="B1006" s="123"/>
      <c r="C1006" s="121"/>
      <c r="D1006" s="107" t="s">
        <v>1147</v>
      </c>
      <c r="E1006" s="107" t="s">
        <v>17</v>
      </c>
      <c r="F1006" s="107" t="s">
        <v>6</v>
      </c>
      <c r="G1006" s="107" t="s">
        <v>536</v>
      </c>
      <c r="H1006" s="20">
        <v>9</v>
      </c>
      <c r="I1006" s="76">
        <v>9</v>
      </c>
      <c r="J1006" s="98"/>
      <c r="K1006" s="14"/>
      <c r="L1006" s="14"/>
      <c r="M1006" s="14"/>
    </row>
    <row r="1007" spans="1:13" ht="105" x14ac:dyDescent="0.25">
      <c r="A1007" s="130" t="s">
        <v>1143</v>
      </c>
      <c r="B1007" s="123"/>
      <c r="C1007" s="119" t="s">
        <v>211</v>
      </c>
      <c r="D1007" s="107" t="s">
        <v>1898</v>
      </c>
      <c r="E1007" s="105" t="s">
        <v>1149</v>
      </c>
      <c r="F1007" s="107" t="s">
        <v>85</v>
      </c>
      <c r="G1007" s="107" t="s">
        <v>536</v>
      </c>
      <c r="H1007" s="111">
        <v>2</v>
      </c>
      <c r="I1007" s="77">
        <v>2</v>
      </c>
      <c r="J1007" s="98"/>
      <c r="K1007" s="14"/>
      <c r="L1007" s="14"/>
      <c r="M1007" s="14"/>
    </row>
    <row r="1008" spans="1:13" ht="60" x14ac:dyDescent="0.25">
      <c r="A1008" s="130"/>
      <c r="B1008" s="123"/>
      <c r="C1008" s="121"/>
      <c r="D1008" s="107" t="s">
        <v>1147</v>
      </c>
      <c r="E1008" s="107" t="s">
        <v>17</v>
      </c>
      <c r="F1008" s="107" t="s">
        <v>6</v>
      </c>
      <c r="G1008" s="107" t="s">
        <v>536</v>
      </c>
      <c r="H1008" s="20">
        <v>6</v>
      </c>
      <c r="I1008" s="76">
        <v>6</v>
      </c>
      <c r="J1008" s="98"/>
      <c r="K1008" s="14"/>
      <c r="L1008" s="14"/>
      <c r="M1008" s="14"/>
    </row>
    <row r="1009" spans="1:13" ht="60" x14ac:dyDescent="0.25">
      <c r="A1009" s="130" t="s">
        <v>1144</v>
      </c>
      <c r="B1009" s="123"/>
      <c r="C1009" s="119" t="s">
        <v>246</v>
      </c>
      <c r="D1009" s="107" t="s">
        <v>1899</v>
      </c>
      <c r="E1009" s="105" t="s">
        <v>36</v>
      </c>
      <c r="F1009" s="107" t="s">
        <v>85</v>
      </c>
      <c r="G1009" s="107" t="s">
        <v>536</v>
      </c>
      <c r="H1009" s="111">
        <v>57</v>
      </c>
      <c r="I1009" s="77">
        <v>57</v>
      </c>
      <c r="J1009" s="98"/>
      <c r="K1009" s="14"/>
      <c r="L1009" s="14"/>
      <c r="M1009" s="14"/>
    </row>
    <row r="1010" spans="1:13" ht="60" x14ac:dyDescent="0.25">
      <c r="A1010" s="130"/>
      <c r="B1010" s="124"/>
      <c r="C1010" s="121"/>
      <c r="D1010" s="107" t="s">
        <v>1147</v>
      </c>
      <c r="E1010" s="107" t="s">
        <v>17</v>
      </c>
      <c r="F1010" s="107" t="s">
        <v>6</v>
      </c>
      <c r="G1010" s="107" t="s">
        <v>536</v>
      </c>
      <c r="H1010" s="20">
        <v>3</v>
      </c>
      <c r="I1010" s="76">
        <v>3</v>
      </c>
      <c r="J1010" s="98"/>
      <c r="K1010" s="14"/>
      <c r="L1010" s="14"/>
      <c r="M1010" s="14"/>
    </row>
    <row r="1011" spans="1:13" ht="57" x14ac:dyDescent="0.25">
      <c r="A1011" s="144" t="s">
        <v>1145</v>
      </c>
      <c r="B1011" s="145"/>
      <c r="C1011" s="146"/>
      <c r="D1011" s="147"/>
      <c r="E1011" s="10" t="s">
        <v>17</v>
      </c>
      <c r="F1011" s="10" t="s">
        <v>6</v>
      </c>
      <c r="G1011" s="10" t="s">
        <v>536</v>
      </c>
      <c r="H1011" s="59">
        <f>H1004+H1006+H1008+H1010</f>
        <v>2563.7399999999998</v>
      </c>
      <c r="I1011" s="81">
        <f>I1004+I1006+I1008+I1010</f>
        <v>2563.7399999999998</v>
      </c>
      <c r="J1011" s="98"/>
      <c r="K1011" s="14"/>
      <c r="L1011" s="14"/>
      <c r="M1011" s="14"/>
    </row>
    <row r="1012" spans="1:13" ht="60" x14ac:dyDescent="0.25">
      <c r="A1012" s="130" t="s">
        <v>1150</v>
      </c>
      <c r="B1012" s="122" t="s">
        <v>572</v>
      </c>
      <c r="C1012" s="119" t="s">
        <v>112</v>
      </c>
      <c r="D1012" s="17" t="s">
        <v>1923</v>
      </c>
      <c r="E1012" s="27" t="s">
        <v>25</v>
      </c>
      <c r="F1012" s="107" t="s">
        <v>85</v>
      </c>
      <c r="G1012" s="18" t="s">
        <v>536</v>
      </c>
      <c r="H1012" s="19">
        <v>4400</v>
      </c>
      <c r="I1012" s="73">
        <v>4400</v>
      </c>
      <c r="J1012" s="98"/>
      <c r="K1012" s="14"/>
      <c r="L1012" s="14"/>
      <c r="M1012" s="14"/>
    </row>
    <row r="1013" spans="1:13" ht="60" x14ac:dyDescent="0.25">
      <c r="A1013" s="130"/>
      <c r="B1013" s="123"/>
      <c r="C1013" s="121"/>
      <c r="D1013" s="17" t="s">
        <v>1159</v>
      </c>
      <c r="E1013" s="107" t="s">
        <v>17</v>
      </c>
      <c r="F1013" s="107" t="s">
        <v>6</v>
      </c>
      <c r="G1013" s="15" t="s">
        <v>536</v>
      </c>
      <c r="H1013" s="20">
        <v>2345.4</v>
      </c>
      <c r="I1013" s="76">
        <v>3230.58</v>
      </c>
      <c r="J1013" s="98"/>
      <c r="K1013" s="14"/>
      <c r="L1013" s="14"/>
      <c r="M1013" s="14"/>
    </row>
    <row r="1014" spans="1:13" ht="60" x14ac:dyDescent="0.25">
      <c r="A1014" s="130" t="s">
        <v>1151</v>
      </c>
      <c r="B1014" s="123"/>
      <c r="C1014" s="119" t="s">
        <v>121</v>
      </c>
      <c r="D1014" s="17" t="s">
        <v>1924</v>
      </c>
      <c r="E1014" s="105" t="s">
        <v>1160</v>
      </c>
      <c r="F1014" s="107" t="s">
        <v>85</v>
      </c>
      <c r="G1014" s="18" t="s">
        <v>536</v>
      </c>
      <c r="H1014" s="18">
        <v>30</v>
      </c>
      <c r="I1014" s="88">
        <v>30</v>
      </c>
      <c r="J1014" s="98"/>
      <c r="K1014" s="14"/>
      <c r="L1014" s="14"/>
      <c r="M1014" s="14"/>
    </row>
    <row r="1015" spans="1:13" ht="60" x14ac:dyDescent="0.25">
      <c r="A1015" s="130"/>
      <c r="B1015" s="123"/>
      <c r="C1015" s="121"/>
      <c r="D1015" s="17" t="s">
        <v>1159</v>
      </c>
      <c r="E1015" s="107" t="s">
        <v>17</v>
      </c>
      <c r="F1015" s="107" t="s">
        <v>6</v>
      </c>
      <c r="G1015" s="15" t="s">
        <v>536</v>
      </c>
      <c r="H1015" s="20">
        <v>30.8</v>
      </c>
      <c r="I1015" s="76">
        <v>42.37</v>
      </c>
      <c r="J1015" s="98"/>
      <c r="K1015" s="14"/>
      <c r="L1015" s="14"/>
      <c r="M1015" s="14"/>
    </row>
    <row r="1016" spans="1:13" ht="60" x14ac:dyDescent="0.25">
      <c r="A1016" s="130" t="s">
        <v>1152</v>
      </c>
      <c r="B1016" s="123"/>
      <c r="C1016" s="119" t="s">
        <v>111</v>
      </c>
      <c r="D1016" s="17" t="s">
        <v>1925</v>
      </c>
      <c r="E1016" s="105" t="s">
        <v>140</v>
      </c>
      <c r="F1016" s="107" t="s">
        <v>85</v>
      </c>
      <c r="G1016" s="15" t="s">
        <v>536</v>
      </c>
      <c r="H1016" s="18">
        <v>850</v>
      </c>
      <c r="I1016" s="88">
        <v>850</v>
      </c>
      <c r="J1016" s="98"/>
      <c r="K1016" s="14"/>
      <c r="L1016" s="14"/>
      <c r="M1016" s="14"/>
    </row>
    <row r="1017" spans="1:13" ht="60" x14ac:dyDescent="0.25">
      <c r="A1017" s="130"/>
      <c r="B1017" s="123"/>
      <c r="C1017" s="121"/>
      <c r="D1017" s="17" t="s">
        <v>1159</v>
      </c>
      <c r="E1017" s="107" t="s">
        <v>17</v>
      </c>
      <c r="F1017" s="107" t="s">
        <v>6</v>
      </c>
      <c r="G1017" s="15" t="s">
        <v>536</v>
      </c>
      <c r="H1017" s="20">
        <v>474.9</v>
      </c>
      <c r="I1017" s="76">
        <v>654.11</v>
      </c>
      <c r="J1017" s="98"/>
      <c r="K1017" s="14"/>
      <c r="L1017" s="14"/>
      <c r="M1017" s="14"/>
    </row>
    <row r="1018" spans="1:13" ht="60" x14ac:dyDescent="0.25">
      <c r="A1018" s="130" t="s">
        <v>1153</v>
      </c>
      <c r="B1018" s="123"/>
      <c r="C1018" s="134" t="s">
        <v>122</v>
      </c>
      <c r="D1018" s="17" t="s">
        <v>1926</v>
      </c>
      <c r="E1018" s="105" t="s">
        <v>25</v>
      </c>
      <c r="F1018" s="107" t="s">
        <v>85</v>
      </c>
      <c r="G1018" s="15" t="s">
        <v>536</v>
      </c>
      <c r="H1018" s="18">
        <v>649</v>
      </c>
      <c r="I1018" s="88">
        <v>649</v>
      </c>
      <c r="J1018" s="98"/>
      <c r="K1018" s="14"/>
      <c r="L1018" s="14"/>
      <c r="M1018" s="14"/>
    </row>
    <row r="1019" spans="1:13" ht="60" x14ac:dyDescent="0.25">
      <c r="A1019" s="130"/>
      <c r="B1019" s="123"/>
      <c r="C1019" s="134"/>
      <c r="D1019" s="17" t="s">
        <v>1161</v>
      </c>
      <c r="E1019" s="107" t="s">
        <v>17</v>
      </c>
      <c r="F1019" s="107" t="s">
        <v>6</v>
      </c>
      <c r="G1019" s="15" t="s">
        <v>536</v>
      </c>
      <c r="H1019" s="20">
        <v>1881.1</v>
      </c>
      <c r="I1019" s="76">
        <v>2562.2399999999998</v>
      </c>
      <c r="J1019" s="98"/>
      <c r="K1019" s="14"/>
      <c r="L1019" s="14"/>
      <c r="M1019" s="14"/>
    </row>
    <row r="1020" spans="1:13" ht="60" x14ac:dyDescent="0.25">
      <c r="A1020" s="130" t="s">
        <v>1154</v>
      </c>
      <c r="B1020" s="123"/>
      <c r="C1020" s="134" t="s">
        <v>28</v>
      </c>
      <c r="D1020" s="17" t="s">
        <v>1927</v>
      </c>
      <c r="E1020" s="105" t="s">
        <v>250</v>
      </c>
      <c r="F1020" s="107" t="s">
        <v>85</v>
      </c>
      <c r="G1020" s="15" t="s">
        <v>536</v>
      </c>
      <c r="H1020" s="18">
        <v>2</v>
      </c>
      <c r="I1020" s="88">
        <v>2</v>
      </c>
      <c r="J1020" s="98"/>
      <c r="K1020" s="14"/>
      <c r="L1020" s="14"/>
      <c r="M1020" s="14"/>
    </row>
    <row r="1021" spans="1:13" ht="60" x14ac:dyDescent="0.25">
      <c r="A1021" s="130"/>
      <c r="B1021" s="123"/>
      <c r="C1021" s="134"/>
      <c r="D1021" s="17" t="s">
        <v>1161</v>
      </c>
      <c r="E1021" s="107" t="s">
        <v>17</v>
      </c>
      <c r="F1021" s="107" t="s">
        <v>6</v>
      </c>
      <c r="G1021" s="15" t="s">
        <v>536</v>
      </c>
      <c r="H1021" s="20">
        <v>11.52</v>
      </c>
      <c r="I1021" s="76">
        <v>15.65</v>
      </c>
      <c r="J1021" s="98"/>
      <c r="K1021" s="14"/>
      <c r="L1021" s="14"/>
      <c r="M1021" s="14"/>
    </row>
    <row r="1022" spans="1:13" ht="60" x14ac:dyDescent="0.25">
      <c r="A1022" s="130" t="s">
        <v>1155</v>
      </c>
      <c r="B1022" s="123"/>
      <c r="C1022" s="134" t="s">
        <v>252</v>
      </c>
      <c r="D1022" s="17" t="s">
        <v>1928</v>
      </c>
      <c r="E1022" s="105" t="s">
        <v>1162</v>
      </c>
      <c r="F1022" s="107" t="s">
        <v>85</v>
      </c>
      <c r="G1022" s="15" t="s">
        <v>536</v>
      </c>
      <c r="H1022" s="19">
        <v>2193</v>
      </c>
      <c r="I1022" s="73">
        <v>2193</v>
      </c>
      <c r="J1022" s="98"/>
      <c r="K1022" s="14"/>
      <c r="L1022" s="14"/>
      <c r="M1022" s="14"/>
    </row>
    <row r="1023" spans="1:13" ht="60" x14ac:dyDescent="0.25">
      <c r="A1023" s="130"/>
      <c r="B1023" s="123"/>
      <c r="C1023" s="134"/>
      <c r="D1023" s="17" t="s">
        <v>1161</v>
      </c>
      <c r="E1023" s="107" t="s">
        <v>17</v>
      </c>
      <c r="F1023" s="107" t="s">
        <v>6</v>
      </c>
      <c r="G1023" s="15" t="s">
        <v>536</v>
      </c>
      <c r="H1023" s="20">
        <v>1142.78</v>
      </c>
      <c r="I1023" s="76">
        <v>1556.56</v>
      </c>
      <c r="J1023" s="98"/>
      <c r="K1023" s="14"/>
      <c r="L1023" s="14"/>
      <c r="M1023" s="14"/>
    </row>
    <row r="1024" spans="1:13" ht="60" x14ac:dyDescent="0.25">
      <c r="A1024" s="130" t="s">
        <v>1156</v>
      </c>
      <c r="B1024" s="123"/>
      <c r="C1024" s="116" t="s">
        <v>255</v>
      </c>
      <c r="D1024" s="99" t="s">
        <v>1929</v>
      </c>
      <c r="E1024" s="105" t="s">
        <v>1164</v>
      </c>
      <c r="F1024" s="107" t="s">
        <v>85</v>
      </c>
      <c r="G1024" s="15" t="s">
        <v>536</v>
      </c>
      <c r="H1024" s="6" t="s">
        <v>10</v>
      </c>
      <c r="I1024" s="87" t="s">
        <v>10</v>
      </c>
      <c r="J1024" s="98"/>
      <c r="K1024" s="14"/>
      <c r="L1024" s="14"/>
      <c r="M1024" s="14"/>
    </row>
    <row r="1025" spans="1:13" ht="60" x14ac:dyDescent="0.25">
      <c r="A1025" s="130"/>
      <c r="B1025" s="123"/>
      <c r="C1025" s="117"/>
      <c r="D1025" s="99" t="s">
        <v>1163</v>
      </c>
      <c r="E1025" s="107" t="s">
        <v>17</v>
      </c>
      <c r="F1025" s="107" t="s">
        <v>68</v>
      </c>
      <c r="G1025" s="15" t="s">
        <v>536</v>
      </c>
      <c r="H1025" s="20">
        <v>101.6</v>
      </c>
      <c r="I1025" s="76">
        <v>148.25</v>
      </c>
      <c r="J1025" s="98"/>
      <c r="K1025" s="14"/>
      <c r="L1025" s="14"/>
      <c r="M1025" s="14"/>
    </row>
    <row r="1026" spans="1:13" ht="60" x14ac:dyDescent="0.25">
      <c r="A1026" s="130" t="s">
        <v>1157</v>
      </c>
      <c r="B1026" s="123"/>
      <c r="C1026" s="116" t="s">
        <v>257</v>
      </c>
      <c r="D1026" s="99" t="s">
        <v>1601</v>
      </c>
      <c r="E1026" s="105" t="s">
        <v>36</v>
      </c>
      <c r="F1026" s="107" t="s">
        <v>85</v>
      </c>
      <c r="G1026" s="15" t="s">
        <v>536</v>
      </c>
      <c r="H1026" s="18">
        <v>2</v>
      </c>
      <c r="I1026" s="88">
        <v>2</v>
      </c>
      <c r="J1026" s="98"/>
      <c r="K1026" s="14"/>
      <c r="L1026" s="14"/>
      <c r="M1026" s="14"/>
    </row>
    <row r="1027" spans="1:13" ht="60" x14ac:dyDescent="0.25">
      <c r="A1027" s="130"/>
      <c r="B1027" s="123"/>
      <c r="C1027" s="141"/>
      <c r="D1027" s="99" t="s">
        <v>1163</v>
      </c>
      <c r="E1027" s="107" t="s">
        <v>17</v>
      </c>
      <c r="F1027" s="107" t="s">
        <v>68</v>
      </c>
      <c r="G1027" s="44" t="s">
        <v>536</v>
      </c>
      <c r="H1027" s="20">
        <v>885.9</v>
      </c>
      <c r="I1027" s="76">
        <v>1292</v>
      </c>
      <c r="J1027" s="98"/>
      <c r="K1027" s="14"/>
      <c r="L1027" s="14"/>
      <c r="M1027" s="14"/>
    </row>
    <row r="1028" spans="1:13" ht="60" x14ac:dyDescent="0.25">
      <c r="A1028" s="130" t="s">
        <v>1158</v>
      </c>
      <c r="B1028" s="123"/>
      <c r="C1028" s="116" t="s">
        <v>121</v>
      </c>
      <c r="D1028" s="99" t="s">
        <v>1930</v>
      </c>
      <c r="E1028" s="105" t="s">
        <v>143</v>
      </c>
      <c r="F1028" s="107" t="s">
        <v>85</v>
      </c>
      <c r="G1028" s="44" t="s">
        <v>536</v>
      </c>
      <c r="H1028" s="60">
        <v>25</v>
      </c>
      <c r="I1028" s="89">
        <v>25</v>
      </c>
      <c r="J1028" s="98"/>
      <c r="K1028" s="14"/>
      <c r="L1028" s="14"/>
      <c r="M1028" s="14"/>
    </row>
    <row r="1029" spans="1:13" ht="60" x14ac:dyDescent="0.25">
      <c r="A1029" s="130"/>
      <c r="B1029" s="124"/>
      <c r="C1029" s="141"/>
      <c r="D1029" s="99" t="s">
        <v>283</v>
      </c>
      <c r="E1029" s="107" t="s">
        <v>17</v>
      </c>
      <c r="F1029" s="107" t="s">
        <v>68</v>
      </c>
      <c r="G1029" s="15" t="s">
        <v>536</v>
      </c>
      <c r="H1029" s="20">
        <v>1107.4000000000001</v>
      </c>
      <c r="I1029" s="76">
        <v>1615.1</v>
      </c>
      <c r="J1029" s="98"/>
      <c r="K1029" s="14"/>
      <c r="L1029" s="14"/>
      <c r="M1029" s="14"/>
    </row>
    <row r="1030" spans="1:13" s="53" customFormat="1" ht="57" x14ac:dyDescent="0.25">
      <c r="A1030" s="144" t="s">
        <v>583</v>
      </c>
      <c r="B1030" s="145"/>
      <c r="C1030" s="146"/>
      <c r="D1030" s="147"/>
      <c r="E1030" s="10" t="s">
        <v>17</v>
      </c>
      <c r="F1030" s="10" t="s">
        <v>6</v>
      </c>
      <c r="G1030" s="71" t="s">
        <v>536</v>
      </c>
      <c r="H1030" s="59">
        <f>H1013+H1015+H1017+H1019+H1021+H1023+H1025+H1027+H1029</f>
        <v>7981.4000000000015</v>
      </c>
      <c r="I1030" s="81">
        <f>I1013+I1015+I1017+I1019+I1021+I1023+I1025+I1027+I1029</f>
        <v>11116.859999999999</v>
      </c>
      <c r="J1030" s="98"/>
      <c r="K1030" s="52"/>
      <c r="L1030" s="52"/>
      <c r="M1030" s="52"/>
    </row>
    <row r="1031" spans="1:13" ht="75" x14ac:dyDescent="0.25">
      <c r="A1031" s="130" t="s">
        <v>1165</v>
      </c>
      <c r="B1031" s="122" t="s">
        <v>1174</v>
      </c>
      <c r="C1031" s="130" t="s">
        <v>1172</v>
      </c>
      <c r="D1031" s="107" t="s">
        <v>2145</v>
      </c>
      <c r="E1031" s="105" t="s">
        <v>1173</v>
      </c>
      <c r="F1031" s="107" t="s">
        <v>80</v>
      </c>
      <c r="G1031" s="107" t="s">
        <v>536</v>
      </c>
      <c r="H1031" s="111">
        <v>12</v>
      </c>
      <c r="I1031" s="77">
        <v>12</v>
      </c>
      <c r="J1031" s="98"/>
      <c r="K1031" s="14"/>
      <c r="L1031" s="14"/>
      <c r="M1031" s="14"/>
    </row>
    <row r="1032" spans="1:13" ht="60" x14ac:dyDescent="0.25">
      <c r="A1032" s="130"/>
      <c r="B1032" s="123"/>
      <c r="C1032" s="130"/>
      <c r="D1032" s="107" t="s">
        <v>1175</v>
      </c>
      <c r="E1032" s="107" t="s">
        <v>17</v>
      </c>
      <c r="F1032" s="107" t="s">
        <v>6</v>
      </c>
      <c r="G1032" s="107" t="s">
        <v>536</v>
      </c>
      <c r="H1032" s="20" t="s">
        <v>260</v>
      </c>
      <c r="I1032" s="76">
        <v>237.92</v>
      </c>
      <c r="J1032" s="98"/>
      <c r="K1032" s="14"/>
      <c r="L1032" s="14"/>
      <c r="M1032" s="14"/>
    </row>
    <row r="1033" spans="1:13" ht="75" x14ac:dyDescent="0.25">
      <c r="A1033" s="130" t="s">
        <v>1166</v>
      </c>
      <c r="B1033" s="123"/>
      <c r="C1033" s="130" t="s">
        <v>1172</v>
      </c>
      <c r="D1033" s="107" t="s">
        <v>2137</v>
      </c>
      <c r="E1033" s="105" t="s">
        <v>1176</v>
      </c>
      <c r="F1033" s="107" t="s">
        <v>80</v>
      </c>
      <c r="G1033" s="107" t="s">
        <v>536</v>
      </c>
      <c r="H1033" s="111">
        <v>12</v>
      </c>
      <c r="I1033" s="77">
        <v>12</v>
      </c>
      <c r="J1033" s="98"/>
      <c r="K1033" s="14"/>
      <c r="L1033" s="14"/>
      <c r="M1033" s="14"/>
    </row>
    <row r="1034" spans="1:13" ht="60" x14ac:dyDescent="0.25">
      <c r="A1034" s="130"/>
      <c r="B1034" s="123"/>
      <c r="C1034" s="130"/>
      <c r="D1034" s="107" t="s">
        <v>1175</v>
      </c>
      <c r="E1034" s="107" t="s">
        <v>17</v>
      </c>
      <c r="F1034" s="107" t="s">
        <v>6</v>
      </c>
      <c r="G1034" s="107" t="s">
        <v>536</v>
      </c>
      <c r="H1034" s="15">
        <v>449.23</v>
      </c>
      <c r="I1034" s="90">
        <v>449.23</v>
      </c>
      <c r="J1034" s="98"/>
      <c r="K1034" s="14"/>
      <c r="L1034" s="14"/>
      <c r="M1034" s="14"/>
    </row>
    <row r="1035" spans="1:13" ht="90" x14ac:dyDescent="0.25">
      <c r="A1035" s="130" t="s">
        <v>1177</v>
      </c>
      <c r="B1035" s="123"/>
      <c r="C1035" s="130" t="s">
        <v>1172</v>
      </c>
      <c r="D1035" s="107" t="s">
        <v>2146</v>
      </c>
      <c r="E1035" s="105" t="s">
        <v>1179</v>
      </c>
      <c r="F1035" s="107" t="s">
        <v>80</v>
      </c>
      <c r="G1035" s="107" t="s">
        <v>536</v>
      </c>
      <c r="H1035" s="111">
        <v>41</v>
      </c>
      <c r="I1035" s="77">
        <v>41</v>
      </c>
      <c r="J1035" s="98"/>
      <c r="K1035" s="14"/>
      <c r="L1035" s="14"/>
      <c r="M1035" s="14"/>
    </row>
    <row r="1036" spans="1:13" ht="60" x14ac:dyDescent="0.25">
      <c r="A1036" s="130"/>
      <c r="B1036" s="123"/>
      <c r="C1036" s="130"/>
      <c r="D1036" s="107" t="s">
        <v>1175</v>
      </c>
      <c r="E1036" s="107" t="s">
        <v>17</v>
      </c>
      <c r="F1036" s="107" t="s">
        <v>6</v>
      </c>
      <c r="G1036" s="107" t="s">
        <v>536</v>
      </c>
      <c r="H1036" s="20">
        <v>1285.75</v>
      </c>
      <c r="I1036" s="76">
        <v>1361.32</v>
      </c>
      <c r="J1036" s="98"/>
      <c r="K1036" s="14"/>
      <c r="L1036" s="14"/>
      <c r="M1036" s="14"/>
    </row>
    <row r="1037" spans="1:13" ht="75" x14ac:dyDescent="0.25">
      <c r="A1037" s="130" t="s">
        <v>1178</v>
      </c>
      <c r="B1037" s="123"/>
      <c r="C1037" s="130" t="s">
        <v>1172</v>
      </c>
      <c r="D1037" s="107" t="s">
        <v>2139</v>
      </c>
      <c r="E1037" s="105" t="s">
        <v>1180</v>
      </c>
      <c r="F1037" s="107" t="s">
        <v>80</v>
      </c>
      <c r="G1037" s="107" t="s">
        <v>536</v>
      </c>
      <c r="H1037" s="111">
        <v>24</v>
      </c>
      <c r="I1037" s="77">
        <v>24</v>
      </c>
      <c r="J1037" s="98"/>
      <c r="K1037" s="14"/>
      <c r="L1037" s="14"/>
      <c r="M1037" s="14"/>
    </row>
    <row r="1038" spans="1:13" ht="60" x14ac:dyDescent="0.25">
      <c r="A1038" s="130"/>
      <c r="B1038" s="123"/>
      <c r="C1038" s="130"/>
      <c r="D1038" s="107" t="s">
        <v>1175</v>
      </c>
      <c r="E1038" s="107" t="s">
        <v>17</v>
      </c>
      <c r="F1038" s="107" t="s">
        <v>6</v>
      </c>
      <c r="G1038" s="107" t="s">
        <v>536</v>
      </c>
      <c r="H1038" s="20">
        <v>87.5</v>
      </c>
      <c r="I1038" s="76">
        <v>87.5</v>
      </c>
      <c r="J1038" s="98"/>
      <c r="K1038" s="14"/>
      <c r="L1038" s="14"/>
      <c r="M1038" s="14"/>
    </row>
    <row r="1039" spans="1:13" ht="90" x14ac:dyDescent="0.25">
      <c r="A1039" s="130" t="s">
        <v>1182</v>
      </c>
      <c r="B1039" s="123"/>
      <c r="C1039" s="130" t="s">
        <v>1172</v>
      </c>
      <c r="D1039" s="107" t="s">
        <v>2140</v>
      </c>
      <c r="E1039" s="105" t="s">
        <v>1181</v>
      </c>
      <c r="F1039" s="107" t="s">
        <v>80</v>
      </c>
      <c r="G1039" s="18" t="s">
        <v>536</v>
      </c>
      <c r="H1039" s="18">
        <f>10+24</f>
        <v>34</v>
      </c>
      <c r="I1039" s="88">
        <f>10+24</f>
        <v>34</v>
      </c>
      <c r="J1039" s="98"/>
      <c r="K1039" s="14"/>
      <c r="L1039" s="14"/>
      <c r="M1039" s="14"/>
    </row>
    <row r="1040" spans="1:13" ht="60" x14ac:dyDescent="0.25">
      <c r="A1040" s="130"/>
      <c r="B1040" s="123"/>
      <c r="C1040" s="130"/>
      <c r="D1040" s="107" t="s">
        <v>1175</v>
      </c>
      <c r="E1040" s="107" t="s">
        <v>17</v>
      </c>
      <c r="F1040" s="107" t="s">
        <v>6</v>
      </c>
      <c r="G1040" s="6" t="s">
        <v>536</v>
      </c>
      <c r="H1040" s="20">
        <f>334.19+1255.85</f>
        <v>1590.04</v>
      </c>
      <c r="I1040" s="76">
        <f>334.19+1255.85</f>
        <v>1590.04</v>
      </c>
      <c r="J1040" s="98"/>
      <c r="K1040" s="14"/>
      <c r="L1040" s="14"/>
      <c r="M1040" s="14"/>
    </row>
    <row r="1041" spans="1:13" ht="90" x14ac:dyDescent="0.25">
      <c r="A1041" s="130" t="s">
        <v>1183</v>
      </c>
      <c r="B1041" s="123"/>
      <c r="C1041" s="130" t="s">
        <v>1172</v>
      </c>
      <c r="D1041" s="107" t="s">
        <v>2141</v>
      </c>
      <c r="E1041" s="105" t="s">
        <v>1184</v>
      </c>
      <c r="F1041" s="107" t="s">
        <v>80</v>
      </c>
      <c r="G1041" s="6" t="s">
        <v>536</v>
      </c>
      <c r="H1041" s="18">
        <v>9</v>
      </c>
      <c r="I1041" s="88">
        <v>9</v>
      </c>
      <c r="J1041" s="98"/>
      <c r="K1041" s="14"/>
      <c r="L1041" s="14"/>
      <c r="M1041" s="14"/>
    </row>
    <row r="1042" spans="1:13" ht="60" x14ac:dyDescent="0.25">
      <c r="A1042" s="130"/>
      <c r="B1042" s="123"/>
      <c r="C1042" s="130"/>
      <c r="D1042" s="107" t="s">
        <v>284</v>
      </c>
      <c r="E1042" s="107" t="s">
        <v>17</v>
      </c>
      <c r="F1042" s="107" t="s">
        <v>6</v>
      </c>
      <c r="G1042" s="6" t="s">
        <v>536</v>
      </c>
      <c r="H1042" s="20">
        <f>254.76+557.7</f>
        <v>812.46</v>
      </c>
      <c r="I1042" s="76">
        <f>254.76+557.7</f>
        <v>812.46</v>
      </c>
      <c r="J1042" s="98"/>
      <c r="K1042" s="14"/>
      <c r="L1042" s="14"/>
      <c r="M1042" s="14"/>
    </row>
    <row r="1043" spans="1:13" ht="92.25" customHeight="1" x14ac:dyDescent="0.25">
      <c r="A1043" s="130" t="s">
        <v>1191</v>
      </c>
      <c r="B1043" s="123"/>
      <c r="C1043" s="130" t="s">
        <v>1172</v>
      </c>
      <c r="D1043" s="107" t="s">
        <v>2142</v>
      </c>
      <c r="E1043" s="105" t="s">
        <v>1185</v>
      </c>
      <c r="F1043" s="107" t="s">
        <v>80</v>
      </c>
      <c r="G1043" s="6" t="s">
        <v>536</v>
      </c>
      <c r="H1043" s="18">
        <v>4</v>
      </c>
      <c r="I1043" s="88">
        <v>4</v>
      </c>
      <c r="J1043" s="98"/>
      <c r="K1043" s="14"/>
      <c r="L1043" s="14"/>
      <c r="M1043" s="14"/>
    </row>
    <row r="1044" spans="1:13" ht="60" x14ac:dyDescent="0.25">
      <c r="A1044" s="130"/>
      <c r="B1044" s="123"/>
      <c r="C1044" s="130"/>
      <c r="D1044" s="107" t="s">
        <v>1175</v>
      </c>
      <c r="E1044" s="107" t="s">
        <v>17</v>
      </c>
      <c r="F1044" s="107" t="s">
        <v>6</v>
      </c>
      <c r="G1044" s="6" t="s">
        <v>536</v>
      </c>
      <c r="H1044" s="20">
        <f>68.99+102.4</f>
        <v>171.39</v>
      </c>
      <c r="I1044" s="76">
        <f>68.99+102.4</f>
        <v>171.39</v>
      </c>
      <c r="J1044" s="98"/>
      <c r="K1044" s="14"/>
      <c r="L1044" s="14"/>
      <c r="M1044" s="14"/>
    </row>
    <row r="1045" spans="1:13" ht="75" x14ac:dyDescent="0.25">
      <c r="A1045" s="130" t="s">
        <v>1192</v>
      </c>
      <c r="B1045" s="123"/>
      <c r="C1045" s="130" t="s">
        <v>1172</v>
      </c>
      <c r="D1045" s="107" t="s">
        <v>1994</v>
      </c>
      <c r="E1045" s="105" t="s">
        <v>1186</v>
      </c>
      <c r="F1045" s="107" t="s">
        <v>80</v>
      </c>
      <c r="G1045" s="6" t="s">
        <v>536</v>
      </c>
      <c r="H1045" s="111">
        <v>44</v>
      </c>
      <c r="I1045" s="77">
        <v>44</v>
      </c>
      <c r="J1045" s="98"/>
      <c r="K1045" s="14"/>
      <c r="L1045" s="14"/>
      <c r="M1045" s="14"/>
    </row>
    <row r="1046" spans="1:13" ht="60" x14ac:dyDescent="0.25">
      <c r="A1046" s="130"/>
      <c r="B1046" s="123"/>
      <c r="C1046" s="130"/>
      <c r="D1046" s="107" t="s">
        <v>1175</v>
      </c>
      <c r="E1046" s="107" t="s">
        <v>17</v>
      </c>
      <c r="F1046" s="107" t="s">
        <v>68</v>
      </c>
      <c r="G1046" s="6" t="s">
        <v>536</v>
      </c>
      <c r="H1046" s="20">
        <v>158.41</v>
      </c>
      <c r="I1046" s="76">
        <v>158.41</v>
      </c>
      <c r="J1046" s="98"/>
      <c r="K1046" s="14"/>
      <c r="L1046" s="14"/>
      <c r="M1046" s="14"/>
    </row>
    <row r="1047" spans="1:13" ht="90" x14ac:dyDescent="0.25">
      <c r="A1047" s="130" t="s">
        <v>1193</v>
      </c>
      <c r="B1047" s="123"/>
      <c r="C1047" s="130" t="s">
        <v>1172</v>
      </c>
      <c r="D1047" s="107" t="s">
        <v>1995</v>
      </c>
      <c r="E1047" s="105" t="s">
        <v>1187</v>
      </c>
      <c r="F1047" s="107" t="s">
        <v>80</v>
      </c>
      <c r="G1047" s="6" t="s">
        <v>536</v>
      </c>
      <c r="H1047" s="107" t="s">
        <v>72</v>
      </c>
      <c r="I1047" s="77">
        <v>18</v>
      </c>
      <c r="J1047" s="98"/>
      <c r="K1047" s="14"/>
      <c r="L1047" s="14"/>
      <c r="M1047" s="14"/>
    </row>
    <row r="1048" spans="1:13" ht="60" x14ac:dyDescent="0.25">
      <c r="A1048" s="130"/>
      <c r="B1048" s="123"/>
      <c r="C1048" s="130"/>
      <c r="D1048" s="107" t="s">
        <v>1175</v>
      </c>
      <c r="E1048" s="107" t="s">
        <v>17</v>
      </c>
      <c r="F1048" s="107" t="s">
        <v>6</v>
      </c>
      <c r="G1048" s="6" t="s">
        <v>536</v>
      </c>
      <c r="H1048" s="20">
        <f>614.2+408.2</f>
        <v>1022.4000000000001</v>
      </c>
      <c r="I1048" s="76">
        <f>614.2+408.2</f>
        <v>1022.4000000000001</v>
      </c>
      <c r="J1048" s="98"/>
      <c r="K1048" s="14"/>
      <c r="L1048" s="14"/>
      <c r="M1048" s="14"/>
    </row>
    <row r="1049" spans="1:13" ht="90" x14ac:dyDescent="0.25">
      <c r="A1049" s="130" t="s">
        <v>1194</v>
      </c>
      <c r="B1049" s="123"/>
      <c r="C1049" s="130" t="s">
        <v>1172</v>
      </c>
      <c r="D1049" s="107" t="s">
        <v>1996</v>
      </c>
      <c r="E1049" s="105" t="s">
        <v>1188</v>
      </c>
      <c r="F1049" s="107" t="s">
        <v>80</v>
      </c>
      <c r="G1049" s="6" t="s">
        <v>536</v>
      </c>
      <c r="H1049" s="18">
        <f>7+5</f>
        <v>12</v>
      </c>
      <c r="I1049" s="88">
        <f>7+5</f>
        <v>12</v>
      </c>
      <c r="J1049" s="98"/>
      <c r="K1049" s="14"/>
      <c r="L1049" s="14"/>
      <c r="M1049" s="14"/>
    </row>
    <row r="1050" spans="1:13" ht="60" x14ac:dyDescent="0.25">
      <c r="A1050" s="130"/>
      <c r="B1050" s="123"/>
      <c r="C1050" s="130"/>
      <c r="D1050" s="107" t="s">
        <v>1175</v>
      </c>
      <c r="E1050" s="107" t="s">
        <v>17</v>
      </c>
      <c r="F1050" s="107" t="s">
        <v>6</v>
      </c>
      <c r="G1050" s="6" t="s">
        <v>536</v>
      </c>
      <c r="H1050" s="20">
        <f>468.9+520.4</f>
        <v>989.3</v>
      </c>
      <c r="I1050" s="76">
        <f>468.9+520.4</f>
        <v>989.3</v>
      </c>
      <c r="J1050" s="98"/>
      <c r="K1050" s="14"/>
      <c r="L1050" s="14"/>
      <c r="M1050" s="14"/>
    </row>
    <row r="1051" spans="1:13" ht="75" x14ac:dyDescent="0.25">
      <c r="A1051" s="130" t="s">
        <v>1195</v>
      </c>
      <c r="B1051" s="123"/>
      <c r="C1051" s="130" t="s">
        <v>1172</v>
      </c>
      <c r="D1051" s="107" t="s">
        <v>1997</v>
      </c>
      <c r="E1051" s="105" t="s">
        <v>1189</v>
      </c>
      <c r="F1051" s="107" t="s">
        <v>80</v>
      </c>
      <c r="G1051" s="6" t="s">
        <v>536</v>
      </c>
      <c r="H1051" s="111">
        <v>1</v>
      </c>
      <c r="I1051" s="77">
        <v>1</v>
      </c>
      <c r="J1051" s="98"/>
      <c r="K1051" s="14"/>
      <c r="L1051" s="14"/>
      <c r="M1051" s="14"/>
    </row>
    <row r="1052" spans="1:13" ht="60" x14ac:dyDescent="0.25">
      <c r="A1052" s="130"/>
      <c r="B1052" s="123"/>
      <c r="C1052" s="130"/>
      <c r="D1052" s="107" t="s">
        <v>1175</v>
      </c>
      <c r="E1052" s="107" t="s">
        <v>17</v>
      </c>
      <c r="F1052" s="107" t="s">
        <v>6</v>
      </c>
      <c r="G1052" s="6" t="s">
        <v>536</v>
      </c>
      <c r="H1052" s="20">
        <v>71.31</v>
      </c>
      <c r="I1052" s="76">
        <v>71.31</v>
      </c>
      <c r="J1052" s="98"/>
      <c r="K1052" s="14"/>
      <c r="L1052" s="14"/>
      <c r="M1052" s="14"/>
    </row>
    <row r="1053" spans="1:13" ht="90" x14ac:dyDescent="0.25">
      <c r="A1053" s="130" t="s">
        <v>1196</v>
      </c>
      <c r="B1053" s="123"/>
      <c r="C1053" s="130" t="s">
        <v>1190</v>
      </c>
      <c r="D1053" s="107" t="s">
        <v>2136</v>
      </c>
      <c r="E1053" s="105" t="s">
        <v>1188</v>
      </c>
      <c r="F1053" s="107" t="s">
        <v>80</v>
      </c>
      <c r="G1053" s="6" t="s">
        <v>536</v>
      </c>
      <c r="H1053" s="111">
        <v>1</v>
      </c>
      <c r="I1053" s="77">
        <v>1</v>
      </c>
      <c r="J1053" s="98"/>
      <c r="K1053" s="14"/>
      <c r="L1053" s="14"/>
      <c r="M1053" s="14"/>
    </row>
    <row r="1054" spans="1:13" ht="60" x14ac:dyDescent="0.25">
      <c r="A1054" s="130"/>
      <c r="B1054" s="123"/>
      <c r="C1054" s="130"/>
      <c r="D1054" s="107" t="s">
        <v>1175</v>
      </c>
      <c r="E1054" s="107" t="s">
        <v>17</v>
      </c>
      <c r="F1054" s="107" t="s">
        <v>6</v>
      </c>
      <c r="G1054" s="6" t="s">
        <v>536</v>
      </c>
      <c r="H1054" s="20">
        <v>36.67</v>
      </c>
      <c r="I1054" s="76">
        <v>36.67</v>
      </c>
      <c r="J1054" s="98"/>
      <c r="K1054" s="14"/>
      <c r="L1054" s="14"/>
      <c r="M1054" s="14"/>
    </row>
    <row r="1055" spans="1:13" ht="60" x14ac:dyDescent="0.25">
      <c r="A1055" s="130" t="s">
        <v>1197</v>
      </c>
      <c r="B1055" s="123"/>
      <c r="C1055" s="130" t="s">
        <v>190</v>
      </c>
      <c r="D1055" s="107" t="s">
        <v>1853</v>
      </c>
      <c r="E1055" s="105" t="s">
        <v>819</v>
      </c>
      <c r="F1055" s="107" t="s">
        <v>80</v>
      </c>
      <c r="G1055" s="107" t="s">
        <v>536</v>
      </c>
      <c r="H1055" s="111">
        <v>25</v>
      </c>
      <c r="I1055" s="77">
        <v>25</v>
      </c>
      <c r="J1055" s="98"/>
      <c r="K1055" s="14"/>
      <c r="L1055" s="14"/>
      <c r="M1055" s="14"/>
    </row>
    <row r="1056" spans="1:13" ht="60" x14ac:dyDescent="0.25">
      <c r="A1056" s="130"/>
      <c r="B1056" s="123"/>
      <c r="C1056" s="132"/>
      <c r="D1056" s="107" t="s">
        <v>1175</v>
      </c>
      <c r="E1056" s="107" t="s">
        <v>17</v>
      </c>
      <c r="F1056" s="107" t="s">
        <v>6</v>
      </c>
      <c r="G1056" s="107" t="s">
        <v>536</v>
      </c>
      <c r="H1056" s="20">
        <v>805.85</v>
      </c>
      <c r="I1056" s="76">
        <v>805.85</v>
      </c>
      <c r="J1056" s="98"/>
      <c r="K1056" s="14"/>
      <c r="L1056" s="14"/>
      <c r="M1056" s="14"/>
    </row>
    <row r="1057" spans="1:13" ht="60" x14ac:dyDescent="0.25">
      <c r="A1057" s="130" t="s">
        <v>1198</v>
      </c>
      <c r="B1057" s="123"/>
      <c r="C1057" s="130" t="s">
        <v>194</v>
      </c>
      <c r="D1057" s="107" t="s">
        <v>1894</v>
      </c>
      <c r="E1057" s="105" t="s">
        <v>819</v>
      </c>
      <c r="F1057" s="107" t="s">
        <v>80</v>
      </c>
      <c r="G1057" s="107" t="s">
        <v>536</v>
      </c>
      <c r="H1057" s="111">
        <v>25</v>
      </c>
      <c r="I1057" s="77">
        <v>25</v>
      </c>
      <c r="J1057" s="98"/>
      <c r="K1057" s="14"/>
      <c r="L1057" s="14"/>
      <c r="M1057" s="14"/>
    </row>
    <row r="1058" spans="1:13" ht="60" x14ac:dyDescent="0.25">
      <c r="A1058" s="130"/>
      <c r="B1058" s="123"/>
      <c r="C1058" s="132"/>
      <c r="D1058" s="107" t="s">
        <v>1175</v>
      </c>
      <c r="E1058" s="107" t="s">
        <v>17</v>
      </c>
      <c r="F1058" s="107" t="s">
        <v>6</v>
      </c>
      <c r="G1058" s="107" t="s">
        <v>536</v>
      </c>
      <c r="H1058" s="20">
        <v>413.48</v>
      </c>
      <c r="I1058" s="76">
        <v>413.48</v>
      </c>
      <c r="J1058" s="98"/>
      <c r="K1058" s="14"/>
      <c r="L1058" s="14"/>
      <c r="M1058" s="14"/>
    </row>
    <row r="1059" spans="1:13" ht="60" x14ac:dyDescent="0.25">
      <c r="A1059" s="130" t="s">
        <v>1199</v>
      </c>
      <c r="B1059" s="123"/>
      <c r="C1059" s="130" t="s">
        <v>275</v>
      </c>
      <c r="D1059" s="107" t="s">
        <v>1931</v>
      </c>
      <c r="E1059" s="105" t="s">
        <v>36</v>
      </c>
      <c r="F1059" s="107" t="s">
        <v>85</v>
      </c>
      <c r="G1059" s="107" t="s">
        <v>536</v>
      </c>
      <c r="H1059" s="111">
        <v>3</v>
      </c>
      <c r="I1059" s="77">
        <v>3</v>
      </c>
      <c r="J1059" s="98"/>
      <c r="K1059" s="14"/>
      <c r="L1059" s="14"/>
      <c r="M1059" s="14"/>
    </row>
    <row r="1060" spans="1:13" ht="60" x14ac:dyDescent="0.25">
      <c r="A1060" s="130"/>
      <c r="B1060" s="123"/>
      <c r="C1060" s="130"/>
      <c r="D1060" s="107" t="s">
        <v>1175</v>
      </c>
      <c r="E1060" s="107" t="s">
        <v>17</v>
      </c>
      <c r="F1060" s="107" t="s">
        <v>68</v>
      </c>
      <c r="G1060" s="107" t="s">
        <v>536</v>
      </c>
      <c r="H1060" s="20">
        <v>80.69</v>
      </c>
      <c r="I1060" s="76">
        <v>80.69</v>
      </c>
      <c r="J1060" s="98"/>
      <c r="K1060" s="14"/>
      <c r="L1060" s="14"/>
      <c r="M1060" s="14"/>
    </row>
    <row r="1061" spans="1:13" ht="75" x14ac:dyDescent="0.25">
      <c r="A1061" s="130" t="s">
        <v>1202</v>
      </c>
      <c r="B1061" s="123"/>
      <c r="C1061" s="134" t="s">
        <v>1200</v>
      </c>
      <c r="D1061" s="104" t="s">
        <v>1932</v>
      </c>
      <c r="E1061" s="105" t="s">
        <v>1201</v>
      </c>
      <c r="F1061" s="104" t="s">
        <v>80</v>
      </c>
      <c r="G1061" s="104" t="s">
        <v>536</v>
      </c>
      <c r="H1061" s="104">
        <v>16</v>
      </c>
      <c r="I1061" s="85">
        <v>16</v>
      </c>
      <c r="J1061" s="98"/>
      <c r="K1061" s="14"/>
      <c r="L1061" s="14"/>
      <c r="M1061" s="14"/>
    </row>
    <row r="1062" spans="1:13" ht="60" x14ac:dyDescent="0.25">
      <c r="A1062" s="130"/>
      <c r="B1062" s="123"/>
      <c r="C1062" s="134"/>
      <c r="D1062" s="107" t="s">
        <v>1175</v>
      </c>
      <c r="E1062" s="107" t="s">
        <v>17</v>
      </c>
      <c r="F1062" s="104" t="s">
        <v>159</v>
      </c>
      <c r="G1062" s="104" t="s">
        <v>536</v>
      </c>
      <c r="H1062" s="20">
        <v>88.1</v>
      </c>
      <c r="I1062" s="76">
        <v>88.1</v>
      </c>
      <c r="J1062" s="98"/>
      <c r="K1062" s="14"/>
      <c r="L1062" s="14"/>
      <c r="M1062" s="14"/>
    </row>
    <row r="1063" spans="1:13" ht="75" x14ac:dyDescent="0.25">
      <c r="A1063" s="130" t="s">
        <v>1203</v>
      </c>
      <c r="B1063" s="123"/>
      <c r="C1063" s="134" t="s">
        <v>1200</v>
      </c>
      <c r="D1063" s="104" t="s">
        <v>1933</v>
      </c>
      <c r="E1063" s="105" t="s">
        <v>1204</v>
      </c>
      <c r="F1063" s="104" t="s">
        <v>80</v>
      </c>
      <c r="G1063" s="104" t="s">
        <v>536</v>
      </c>
      <c r="H1063" s="104">
        <v>12</v>
      </c>
      <c r="I1063" s="85">
        <v>12</v>
      </c>
      <c r="J1063" s="98"/>
      <c r="K1063" s="14"/>
      <c r="L1063" s="14"/>
      <c r="M1063" s="14"/>
    </row>
    <row r="1064" spans="1:13" ht="60" x14ac:dyDescent="0.25">
      <c r="A1064" s="130"/>
      <c r="B1064" s="123"/>
      <c r="C1064" s="134"/>
      <c r="D1064" s="107" t="s">
        <v>1175</v>
      </c>
      <c r="E1064" s="107" t="s">
        <v>17</v>
      </c>
      <c r="F1064" s="107" t="s">
        <v>6</v>
      </c>
      <c r="G1064" s="104" t="s">
        <v>536</v>
      </c>
      <c r="H1064" s="20">
        <v>143.1</v>
      </c>
      <c r="I1064" s="76">
        <v>143.1</v>
      </c>
      <c r="J1064" s="98"/>
      <c r="K1064" s="14"/>
      <c r="L1064" s="14"/>
      <c r="M1064" s="14"/>
    </row>
    <row r="1065" spans="1:13" ht="90" x14ac:dyDescent="0.25">
      <c r="A1065" s="130" t="s">
        <v>1207</v>
      </c>
      <c r="B1065" s="123"/>
      <c r="C1065" s="134" t="s">
        <v>1200</v>
      </c>
      <c r="D1065" s="104" t="s">
        <v>1934</v>
      </c>
      <c r="E1065" s="105" t="s">
        <v>1205</v>
      </c>
      <c r="F1065" s="104" t="s">
        <v>80</v>
      </c>
      <c r="G1065" s="104" t="s">
        <v>536</v>
      </c>
      <c r="H1065" s="104">
        <v>4</v>
      </c>
      <c r="I1065" s="85">
        <v>4</v>
      </c>
      <c r="J1065" s="98"/>
      <c r="K1065" s="14"/>
      <c r="L1065" s="14"/>
      <c r="M1065" s="14"/>
    </row>
    <row r="1066" spans="1:13" ht="60" x14ac:dyDescent="0.25">
      <c r="A1066" s="130"/>
      <c r="B1066" s="123"/>
      <c r="C1066" s="134"/>
      <c r="D1066" s="107" t="s">
        <v>1175</v>
      </c>
      <c r="E1066" s="107" t="s">
        <v>17</v>
      </c>
      <c r="F1066" s="104" t="s">
        <v>6</v>
      </c>
      <c r="G1066" s="104" t="s">
        <v>536</v>
      </c>
      <c r="H1066" s="20">
        <v>79.400000000000006</v>
      </c>
      <c r="I1066" s="76">
        <v>79.400000000000006</v>
      </c>
      <c r="J1066" s="98"/>
      <c r="K1066" s="14"/>
      <c r="L1066" s="14"/>
      <c r="M1066" s="14"/>
    </row>
    <row r="1067" spans="1:13" ht="75" x14ac:dyDescent="0.25">
      <c r="A1067" s="130" t="s">
        <v>1208</v>
      </c>
      <c r="B1067" s="123"/>
      <c r="C1067" s="134" t="s">
        <v>1200</v>
      </c>
      <c r="D1067" s="104" t="s">
        <v>1935</v>
      </c>
      <c r="E1067" s="105" t="s">
        <v>1206</v>
      </c>
      <c r="F1067" s="104" t="s">
        <v>80</v>
      </c>
      <c r="G1067" s="104" t="s">
        <v>536</v>
      </c>
      <c r="H1067" s="104">
        <v>20</v>
      </c>
      <c r="I1067" s="85">
        <v>20</v>
      </c>
      <c r="J1067" s="98"/>
      <c r="K1067" s="14"/>
      <c r="L1067" s="14"/>
      <c r="M1067" s="14"/>
    </row>
    <row r="1068" spans="1:13" ht="60" x14ac:dyDescent="0.25">
      <c r="A1068" s="130"/>
      <c r="B1068" s="123"/>
      <c r="C1068" s="134"/>
      <c r="D1068" s="107" t="s">
        <v>1175</v>
      </c>
      <c r="E1068" s="107" t="s">
        <v>17</v>
      </c>
      <c r="F1068" s="107" t="s">
        <v>6</v>
      </c>
      <c r="G1068" s="104" t="s">
        <v>536</v>
      </c>
      <c r="H1068" s="20">
        <v>119.9</v>
      </c>
      <c r="I1068" s="76">
        <v>119.9</v>
      </c>
      <c r="J1068" s="98"/>
      <c r="K1068" s="14"/>
      <c r="L1068" s="14"/>
      <c r="M1068" s="14"/>
    </row>
    <row r="1069" spans="1:13" ht="75" x14ac:dyDescent="0.25">
      <c r="A1069" s="130" t="s">
        <v>1209</v>
      </c>
      <c r="B1069" s="123"/>
      <c r="C1069" s="134" t="s">
        <v>1200</v>
      </c>
      <c r="D1069" s="104" t="s">
        <v>2019</v>
      </c>
      <c r="E1069" s="105" t="s">
        <v>2147</v>
      </c>
      <c r="F1069" s="104" t="s">
        <v>80</v>
      </c>
      <c r="G1069" s="104" t="s">
        <v>536</v>
      </c>
      <c r="H1069" s="104">
        <v>6</v>
      </c>
      <c r="I1069" s="85">
        <v>6</v>
      </c>
      <c r="J1069" s="98"/>
      <c r="K1069" s="14"/>
      <c r="L1069" s="14"/>
      <c r="M1069" s="14"/>
    </row>
    <row r="1070" spans="1:13" ht="60" x14ac:dyDescent="0.25">
      <c r="A1070" s="130"/>
      <c r="B1070" s="123"/>
      <c r="C1070" s="134"/>
      <c r="D1070" s="107" t="s">
        <v>1175</v>
      </c>
      <c r="E1070" s="107" t="s">
        <v>17</v>
      </c>
      <c r="F1070" s="107" t="s">
        <v>6</v>
      </c>
      <c r="G1070" s="104" t="s">
        <v>536</v>
      </c>
      <c r="H1070" s="20">
        <v>75.5</v>
      </c>
      <c r="I1070" s="76">
        <v>75.5</v>
      </c>
      <c r="J1070" s="98"/>
      <c r="K1070" s="14"/>
      <c r="L1070" s="14"/>
      <c r="M1070" s="14"/>
    </row>
    <row r="1071" spans="1:13" ht="75" x14ac:dyDescent="0.25">
      <c r="A1071" s="130" t="s">
        <v>1210</v>
      </c>
      <c r="B1071" s="123"/>
      <c r="C1071" s="134" t="s">
        <v>1211</v>
      </c>
      <c r="D1071" s="104" t="s">
        <v>2148</v>
      </c>
      <c r="E1071" s="109" t="s">
        <v>2149</v>
      </c>
      <c r="F1071" s="104" t="s">
        <v>80</v>
      </c>
      <c r="G1071" s="104" t="s">
        <v>536</v>
      </c>
      <c r="H1071" s="104">
        <v>3</v>
      </c>
      <c r="I1071" s="85">
        <v>3</v>
      </c>
      <c r="J1071" s="98"/>
      <c r="K1071" s="14"/>
      <c r="L1071" s="14"/>
      <c r="M1071" s="14"/>
    </row>
    <row r="1072" spans="1:13" ht="60" x14ac:dyDescent="0.25">
      <c r="A1072" s="130"/>
      <c r="B1072" s="123"/>
      <c r="C1072" s="134"/>
      <c r="D1072" s="107" t="s">
        <v>1175</v>
      </c>
      <c r="E1072" s="107" t="s">
        <v>17</v>
      </c>
      <c r="F1072" s="107" t="s">
        <v>6</v>
      </c>
      <c r="G1072" s="104" t="s">
        <v>536</v>
      </c>
      <c r="H1072" s="20">
        <v>180.5</v>
      </c>
      <c r="I1072" s="76">
        <v>180.5</v>
      </c>
      <c r="J1072" s="98"/>
      <c r="K1072" s="14"/>
      <c r="L1072" s="14"/>
      <c r="M1072" s="14"/>
    </row>
    <row r="1073" spans="1:13" ht="90" x14ac:dyDescent="0.25">
      <c r="A1073" s="130" t="s">
        <v>1212</v>
      </c>
      <c r="B1073" s="123"/>
      <c r="C1073" s="134" t="s">
        <v>1211</v>
      </c>
      <c r="D1073" s="104" t="s">
        <v>2136</v>
      </c>
      <c r="E1073" s="105" t="s">
        <v>1213</v>
      </c>
      <c r="F1073" s="104" t="s">
        <v>80</v>
      </c>
      <c r="G1073" s="104" t="s">
        <v>536</v>
      </c>
      <c r="H1073" s="104">
        <v>1</v>
      </c>
      <c r="I1073" s="85">
        <v>1</v>
      </c>
      <c r="J1073" s="98"/>
      <c r="K1073" s="14"/>
      <c r="L1073" s="14"/>
      <c r="M1073" s="14"/>
    </row>
    <row r="1074" spans="1:13" ht="60" x14ac:dyDescent="0.25">
      <c r="A1074" s="130"/>
      <c r="B1074" s="123"/>
      <c r="C1074" s="134"/>
      <c r="D1074" s="107" t="s">
        <v>1175</v>
      </c>
      <c r="E1074" s="107" t="s">
        <v>17</v>
      </c>
      <c r="F1074" s="107" t="s">
        <v>68</v>
      </c>
      <c r="G1074" s="104" t="s">
        <v>536</v>
      </c>
      <c r="H1074" s="20">
        <v>56</v>
      </c>
      <c r="I1074" s="76">
        <v>56</v>
      </c>
      <c r="J1074" s="98"/>
      <c r="K1074" s="14"/>
      <c r="L1074" s="14"/>
      <c r="M1074" s="14"/>
    </row>
    <row r="1075" spans="1:13" ht="105" x14ac:dyDescent="0.25">
      <c r="A1075" s="130" t="s">
        <v>1216</v>
      </c>
      <c r="B1075" s="123"/>
      <c r="C1075" s="134" t="s">
        <v>510</v>
      </c>
      <c r="D1075" s="104" t="s">
        <v>1936</v>
      </c>
      <c r="E1075" s="105" t="s">
        <v>1214</v>
      </c>
      <c r="F1075" s="104" t="s">
        <v>85</v>
      </c>
      <c r="G1075" s="104" t="s">
        <v>536</v>
      </c>
      <c r="H1075" s="104">
        <v>3</v>
      </c>
      <c r="I1075" s="85">
        <v>3</v>
      </c>
      <c r="J1075" s="98"/>
      <c r="K1075" s="14"/>
      <c r="L1075" s="14"/>
      <c r="M1075" s="14"/>
    </row>
    <row r="1076" spans="1:13" ht="60" x14ac:dyDescent="0.25">
      <c r="A1076" s="130"/>
      <c r="B1076" s="123"/>
      <c r="C1076" s="134"/>
      <c r="D1076" s="107" t="s">
        <v>1175</v>
      </c>
      <c r="E1076" s="107" t="s">
        <v>17</v>
      </c>
      <c r="F1076" s="104" t="s">
        <v>6</v>
      </c>
      <c r="G1076" s="104" t="s">
        <v>536</v>
      </c>
      <c r="H1076" s="20">
        <v>32.5</v>
      </c>
      <c r="I1076" s="76">
        <v>32.5</v>
      </c>
      <c r="J1076" s="98"/>
      <c r="K1076" s="14"/>
      <c r="L1076" s="14"/>
      <c r="M1076" s="14"/>
    </row>
    <row r="1077" spans="1:13" ht="60" x14ac:dyDescent="0.25">
      <c r="A1077" s="130" t="s">
        <v>1217</v>
      </c>
      <c r="B1077" s="123"/>
      <c r="C1077" s="134" t="s">
        <v>275</v>
      </c>
      <c r="D1077" s="104" t="s">
        <v>1931</v>
      </c>
      <c r="E1077" s="48" t="s">
        <v>1215</v>
      </c>
      <c r="F1077" s="104" t="s">
        <v>85</v>
      </c>
      <c r="G1077" s="104" t="s">
        <v>536</v>
      </c>
      <c r="H1077" s="104">
        <v>3</v>
      </c>
      <c r="I1077" s="85">
        <v>3</v>
      </c>
      <c r="J1077" s="98"/>
      <c r="K1077" s="14"/>
      <c r="L1077" s="14"/>
      <c r="M1077" s="14"/>
    </row>
    <row r="1078" spans="1:13" ht="60" x14ac:dyDescent="0.25">
      <c r="A1078" s="130"/>
      <c r="B1078" s="124"/>
      <c r="C1078" s="134"/>
      <c r="D1078" s="107" t="s">
        <v>1175</v>
      </c>
      <c r="E1078" s="107" t="s">
        <v>17</v>
      </c>
      <c r="F1078" s="104" t="s">
        <v>279</v>
      </c>
      <c r="G1078" s="104" t="s">
        <v>536</v>
      </c>
      <c r="H1078" s="20">
        <v>791.7</v>
      </c>
      <c r="I1078" s="76">
        <v>791.7</v>
      </c>
      <c r="J1078" s="98"/>
      <c r="K1078" s="14"/>
      <c r="L1078" s="14"/>
      <c r="M1078" s="14"/>
    </row>
    <row r="1079" spans="1:13" ht="30" customHeight="1" x14ac:dyDescent="0.25">
      <c r="A1079" s="172" t="s">
        <v>1167</v>
      </c>
      <c r="B1079" s="172"/>
      <c r="C1079" s="172"/>
      <c r="D1079" s="172"/>
      <c r="E1079" s="178" t="s">
        <v>17</v>
      </c>
      <c r="F1079" s="178" t="s">
        <v>6</v>
      </c>
      <c r="G1079" s="56" t="s">
        <v>536</v>
      </c>
      <c r="H1079" s="56">
        <f>H1032+H1034+H1036+H1038+H1040+H1042+H1044+H1046+H1048+H1050+H1052+H1054+H1056+H1058+H1060+H1062+H1064+H1066+H1068+H1070+H1072+H1074+H1076+H1078</f>
        <v>9779.1000000000022</v>
      </c>
      <c r="I1079" s="91">
        <f>I1032+I1034+I1036+I1038+I1040+I1042+I1044+I1046+I1048+I1050+I1052+I1054+I1056+I1058+I1060+I1062+I1064+I1066+I1068+I1070+I1072+I1074+I1076+I1078</f>
        <v>9854.6700000000019</v>
      </c>
      <c r="J1079" s="98"/>
      <c r="K1079" s="14"/>
      <c r="L1079" s="14"/>
      <c r="M1079" s="14"/>
    </row>
    <row r="1080" spans="1:13" ht="38.25" customHeight="1" x14ac:dyDescent="0.25">
      <c r="A1080" s="316" t="s">
        <v>1168</v>
      </c>
      <c r="B1080" s="317"/>
      <c r="C1080" s="317"/>
      <c r="D1080" s="318"/>
      <c r="E1080" s="179"/>
      <c r="F1080" s="179"/>
      <c r="G1080" s="319">
        <f>G1002</f>
        <v>34161.1</v>
      </c>
      <c r="H1080" s="319">
        <f>H1002+H1011+H1030+H1079</f>
        <v>55682.84</v>
      </c>
      <c r="I1080" s="320">
        <f>+I1079+I1030+I1011+I1002</f>
        <v>58893.869999999995</v>
      </c>
      <c r="J1080" s="98"/>
      <c r="K1080" s="14"/>
      <c r="L1080" s="14"/>
      <c r="M1080" s="14"/>
    </row>
    <row r="1081" spans="1:13" ht="19.5" x14ac:dyDescent="0.25">
      <c r="A1081" s="175" t="s">
        <v>443</v>
      </c>
      <c r="B1081" s="176"/>
      <c r="C1081" s="176"/>
      <c r="D1081" s="176"/>
      <c r="E1081" s="176"/>
      <c r="F1081" s="176"/>
      <c r="G1081" s="176"/>
      <c r="H1081" s="176"/>
      <c r="I1081" s="177"/>
      <c r="J1081" s="98"/>
      <c r="K1081" s="14"/>
      <c r="L1081" s="14"/>
      <c r="M1081" s="14"/>
    </row>
    <row r="1082" spans="1:13" ht="51" customHeight="1" x14ac:dyDescent="0.25">
      <c r="A1082" s="116" t="s">
        <v>1219</v>
      </c>
      <c r="B1082" s="122" t="s">
        <v>297</v>
      </c>
      <c r="C1082" s="116" t="s">
        <v>204</v>
      </c>
      <c r="D1082" s="116" t="s">
        <v>1937</v>
      </c>
      <c r="E1082" s="107" t="s">
        <v>1260</v>
      </c>
      <c r="F1082" s="116" t="s">
        <v>426</v>
      </c>
      <c r="G1082" s="19">
        <v>76912</v>
      </c>
      <c r="H1082" s="19">
        <v>65560</v>
      </c>
      <c r="I1082" s="73">
        <v>63674</v>
      </c>
      <c r="J1082" s="98"/>
      <c r="K1082" s="14"/>
      <c r="L1082" s="14"/>
      <c r="M1082" s="14"/>
    </row>
    <row r="1083" spans="1:13" ht="51" customHeight="1" x14ac:dyDescent="0.25">
      <c r="A1083" s="118"/>
      <c r="B1083" s="123"/>
      <c r="C1083" s="118"/>
      <c r="D1083" s="141"/>
      <c r="E1083" s="107" t="s">
        <v>1225</v>
      </c>
      <c r="F1083" s="117"/>
      <c r="G1083" s="19">
        <v>16577</v>
      </c>
      <c r="H1083" s="19">
        <v>14886</v>
      </c>
      <c r="I1083" s="73">
        <v>14494</v>
      </c>
      <c r="J1083" s="98"/>
      <c r="K1083" s="14"/>
      <c r="L1083" s="14"/>
      <c r="M1083" s="14"/>
    </row>
    <row r="1084" spans="1:13" ht="44.25" customHeight="1" x14ac:dyDescent="0.25">
      <c r="A1084" s="118"/>
      <c r="B1084" s="123"/>
      <c r="C1084" s="118"/>
      <c r="D1084" s="107" t="s">
        <v>1218</v>
      </c>
      <c r="E1084" s="116" t="s">
        <v>16</v>
      </c>
      <c r="F1084" s="116" t="s">
        <v>6</v>
      </c>
      <c r="G1084" s="51">
        <f>501.8+441.5+721.19+972.6+623.18+663.47+1218.28+499.8+602.4+607.6+464.8+505.5+1214.6+531.2+325.49+1865.1+1185.38+633.77+1212.4+628.7+717.75+482.09+763.5+368.28+713.1+1309.88+439.32</f>
        <v>20212.679999999997</v>
      </c>
      <c r="H1084" s="51">
        <v>19828.57</v>
      </c>
      <c r="I1084" s="78">
        <f>556.35+394.4+763.66+1750.9+445.06+613.61+1350.55+569+641.15+1298.3+439.6+1047.6+537.1+387.49+1889.52+1347.3+642.05+1281.9+667.5+888.41+569.6+562.19+448.22+815.8+1370.3+643.24</f>
        <v>21920.799999999999</v>
      </c>
      <c r="J1084" s="98"/>
      <c r="K1084" s="14"/>
      <c r="L1084" s="14"/>
      <c r="M1084" s="14"/>
    </row>
    <row r="1085" spans="1:13" x14ac:dyDescent="0.25">
      <c r="A1085" s="118"/>
      <c r="B1085" s="123"/>
      <c r="C1085" s="118"/>
      <c r="D1085" s="107" t="s">
        <v>303</v>
      </c>
      <c r="E1085" s="118"/>
      <c r="F1085" s="118"/>
      <c r="G1085" s="20">
        <f>1020.6+659.3</f>
        <v>1679.9</v>
      </c>
      <c r="H1085" s="20">
        <v>2523.44</v>
      </c>
      <c r="I1085" s="76">
        <f>1713+1000.2</f>
        <v>2713.2</v>
      </c>
      <c r="J1085" s="98"/>
      <c r="K1085" s="14"/>
      <c r="L1085" s="14"/>
      <c r="M1085" s="14"/>
    </row>
    <row r="1086" spans="1:13" x14ac:dyDescent="0.25">
      <c r="A1086" s="118"/>
      <c r="B1086" s="123"/>
      <c r="C1086" s="118"/>
      <c r="D1086" s="107" t="s">
        <v>305</v>
      </c>
      <c r="E1086" s="118"/>
      <c r="F1086" s="118"/>
      <c r="G1086" s="20">
        <f>377.8</f>
        <v>377.8</v>
      </c>
      <c r="H1086" s="20">
        <f>147.57</f>
        <v>147.57</v>
      </c>
      <c r="I1086" s="76">
        <f>147.5</f>
        <v>147.5</v>
      </c>
      <c r="J1086" s="98"/>
      <c r="K1086" s="14"/>
      <c r="L1086" s="14"/>
      <c r="M1086" s="14"/>
    </row>
    <row r="1087" spans="1:13" x14ac:dyDescent="0.25">
      <c r="A1087" s="117"/>
      <c r="B1087" s="123"/>
      <c r="C1087" s="117"/>
      <c r="D1087" s="99" t="s">
        <v>306</v>
      </c>
      <c r="E1087" s="117"/>
      <c r="F1087" s="117"/>
      <c r="G1087" s="20">
        <f>2622.35</f>
        <v>2622.35</v>
      </c>
      <c r="H1087" s="20">
        <v>3048.9</v>
      </c>
      <c r="I1087" s="76">
        <f>3373.91</f>
        <v>3373.91</v>
      </c>
      <c r="J1087" s="98"/>
      <c r="K1087" s="14"/>
      <c r="L1087" s="14"/>
      <c r="M1087" s="14"/>
    </row>
    <row r="1088" spans="1:13" ht="49.5" customHeight="1" x14ac:dyDescent="0.25">
      <c r="A1088" s="116" t="s">
        <v>1220</v>
      </c>
      <c r="B1088" s="123"/>
      <c r="C1088" s="116" t="s">
        <v>204</v>
      </c>
      <c r="D1088" s="116" t="s">
        <v>1938</v>
      </c>
      <c r="E1088" s="107" t="s">
        <v>1226</v>
      </c>
      <c r="F1088" s="116" t="s">
        <v>426</v>
      </c>
      <c r="G1088" s="19">
        <v>113897</v>
      </c>
      <c r="H1088" s="19">
        <v>84680</v>
      </c>
      <c r="I1088" s="73">
        <v>79444</v>
      </c>
      <c r="J1088" s="98"/>
      <c r="K1088" s="14"/>
      <c r="L1088" s="14"/>
      <c r="M1088" s="14"/>
    </row>
    <row r="1089" spans="1:13" ht="47.25" customHeight="1" x14ac:dyDescent="0.25">
      <c r="A1089" s="118"/>
      <c r="B1089" s="123"/>
      <c r="C1089" s="118"/>
      <c r="D1089" s="141"/>
      <c r="E1089" s="107" t="s">
        <v>1227</v>
      </c>
      <c r="F1089" s="117"/>
      <c r="G1089" s="19">
        <v>19256</v>
      </c>
      <c r="H1089" s="19">
        <v>16081</v>
      </c>
      <c r="I1089" s="73">
        <v>15030</v>
      </c>
      <c r="J1089" s="98"/>
      <c r="K1089" s="14"/>
      <c r="L1089" s="14"/>
      <c r="M1089" s="14"/>
    </row>
    <row r="1090" spans="1:13" ht="42.75" customHeight="1" x14ac:dyDescent="0.25">
      <c r="A1090" s="118"/>
      <c r="B1090" s="123"/>
      <c r="C1090" s="118"/>
      <c r="D1090" s="107" t="s">
        <v>1221</v>
      </c>
      <c r="E1090" s="118" t="s">
        <v>16</v>
      </c>
      <c r="F1090" s="118" t="s">
        <v>6</v>
      </c>
      <c r="G1090" s="51">
        <f>946.2+757.6+918.07+1698.8+623.18+948.81+1218.78+501.7+602.35+911.2+1015+843+1737.1+253.89+2300.78+1381.64+913.07+1212.4+749.1+912.84+482.09+1214.65+327.06+723.5+2588.22+776.8</f>
        <v>26557.830000000005</v>
      </c>
      <c r="H1090" s="51">
        <v>25512.35</v>
      </c>
      <c r="I1090" s="78">
        <f>1171.63+703.4+983.76+2130.8+457.9+842.33+1425.15+591.6+641.15+1878.3+743.2+1763.5+807.9+2309.44+1298.89+521.6+1281.9+795.5+1127.11+569.6+856.15+386.51+827.1+2707.61+751.06</f>
        <v>27573.089999999997</v>
      </c>
      <c r="J1090" s="98"/>
      <c r="K1090" s="14"/>
      <c r="L1090" s="14"/>
      <c r="M1090" s="14"/>
    </row>
    <row r="1091" spans="1:13" x14ac:dyDescent="0.25">
      <c r="A1091" s="118"/>
      <c r="B1091" s="123"/>
      <c r="C1091" s="118"/>
      <c r="D1091" s="107" t="s">
        <v>303</v>
      </c>
      <c r="E1091" s="118"/>
      <c r="F1091" s="118"/>
      <c r="G1091" s="20">
        <f>898.3+659.3</f>
        <v>1557.6</v>
      </c>
      <c r="H1091" s="20">
        <v>2488.35</v>
      </c>
      <c r="I1091" s="76">
        <f>1674+1145.7</f>
        <v>2819.7</v>
      </c>
      <c r="J1091" s="98"/>
      <c r="K1091" s="14"/>
      <c r="L1091" s="14"/>
      <c r="M1091" s="14"/>
    </row>
    <row r="1092" spans="1:13" x14ac:dyDescent="0.25">
      <c r="A1092" s="118"/>
      <c r="B1092" s="123"/>
      <c r="C1092" s="118"/>
      <c r="D1092" s="107" t="s">
        <v>309</v>
      </c>
      <c r="E1092" s="118"/>
      <c r="F1092" s="118"/>
      <c r="G1092" s="20">
        <f>1581.97</f>
        <v>1581.97</v>
      </c>
      <c r="H1092" s="20">
        <v>1559.6</v>
      </c>
      <c r="I1092" s="76">
        <f>1793.44</f>
        <v>1793.44</v>
      </c>
      <c r="J1092" s="98"/>
      <c r="K1092" s="14"/>
      <c r="L1092" s="14"/>
      <c r="M1092" s="14"/>
    </row>
    <row r="1093" spans="1:13" x14ac:dyDescent="0.25">
      <c r="A1093" s="118"/>
      <c r="B1093" s="123"/>
      <c r="C1093" s="118"/>
      <c r="D1093" s="107" t="s">
        <v>310</v>
      </c>
      <c r="E1093" s="118"/>
      <c r="F1093" s="118"/>
      <c r="G1093" s="20">
        <f>414</f>
        <v>414</v>
      </c>
      <c r="H1093" s="20">
        <v>0</v>
      </c>
      <c r="I1093" s="76">
        <v>0</v>
      </c>
      <c r="J1093" s="98"/>
      <c r="K1093" s="14"/>
      <c r="L1093" s="14"/>
      <c r="M1093" s="14"/>
    </row>
    <row r="1094" spans="1:13" x14ac:dyDescent="0.25">
      <c r="A1094" s="117"/>
      <c r="B1094" s="123"/>
      <c r="C1094" s="117"/>
      <c r="D1094" s="99" t="s">
        <v>306</v>
      </c>
      <c r="E1094" s="117"/>
      <c r="F1094" s="117"/>
      <c r="G1094" s="20">
        <f>3659.55</f>
        <v>3659.55</v>
      </c>
      <c r="H1094" s="20">
        <v>3549.28</v>
      </c>
      <c r="I1094" s="76">
        <f>3928.56</f>
        <v>3928.56</v>
      </c>
      <c r="J1094" s="98"/>
      <c r="K1094" s="14"/>
      <c r="L1094" s="14"/>
      <c r="M1094" s="14"/>
    </row>
    <row r="1095" spans="1:13" ht="48" customHeight="1" x14ac:dyDescent="0.25">
      <c r="A1095" s="116" t="s">
        <v>1222</v>
      </c>
      <c r="B1095" s="123"/>
      <c r="C1095" s="116" t="s">
        <v>204</v>
      </c>
      <c r="D1095" s="116" t="s">
        <v>1939</v>
      </c>
      <c r="E1095" s="107" t="s">
        <v>1228</v>
      </c>
      <c r="F1095" s="116" t="s">
        <v>426</v>
      </c>
      <c r="G1095" s="19">
        <v>22951</v>
      </c>
      <c r="H1095" s="19">
        <v>25053</v>
      </c>
      <c r="I1095" s="73">
        <v>20300</v>
      </c>
      <c r="J1095" s="98"/>
      <c r="K1095" s="14"/>
      <c r="L1095" s="14"/>
      <c r="M1095" s="14"/>
    </row>
    <row r="1096" spans="1:13" ht="49.5" customHeight="1" x14ac:dyDescent="0.25">
      <c r="A1096" s="118"/>
      <c r="B1096" s="123"/>
      <c r="C1096" s="118"/>
      <c r="D1096" s="141"/>
      <c r="E1096" s="107" t="s">
        <v>1229</v>
      </c>
      <c r="F1096" s="117"/>
      <c r="G1096" s="19">
        <v>12219</v>
      </c>
      <c r="H1096" s="19">
        <v>11127</v>
      </c>
      <c r="I1096" s="73">
        <v>8748</v>
      </c>
      <c r="J1096" s="98"/>
      <c r="K1096" s="14"/>
      <c r="L1096" s="14"/>
      <c r="M1096" s="14"/>
    </row>
    <row r="1097" spans="1:13" ht="45.75" customHeight="1" x14ac:dyDescent="0.25">
      <c r="A1097" s="118"/>
      <c r="B1097" s="123"/>
      <c r="C1097" s="118"/>
      <c r="D1097" s="107" t="s">
        <v>1223</v>
      </c>
      <c r="E1097" s="116" t="s">
        <v>16</v>
      </c>
      <c r="F1097" s="116" t="s">
        <v>6</v>
      </c>
      <c r="G1097" s="51">
        <f>197.7+225.9+187.95+451.2+691.58+413.24+735+379.46+277.64+1390.68+57.45+492.2</f>
        <v>5499.9999999999991</v>
      </c>
      <c r="H1097" s="51">
        <v>5849.85</v>
      </c>
      <c r="I1097" s="78">
        <f>660.5+246.66+168.8+813+397.69+983.11+70.2+780.4+469.68+402.49+553.09+77.11+514.91</f>
        <v>6137.6399999999994</v>
      </c>
      <c r="J1097" s="98"/>
      <c r="K1097" s="14"/>
      <c r="L1097" s="14"/>
      <c r="M1097" s="14"/>
    </row>
    <row r="1098" spans="1:13" x14ac:dyDescent="0.25">
      <c r="A1098" s="118"/>
      <c r="B1098" s="123"/>
      <c r="C1098" s="118"/>
      <c r="D1098" s="107" t="s">
        <v>303</v>
      </c>
      <c r="E1098" s="118"/>
      <c r="F1098" s="118"/>
      <c r="G1098" s="20">
        <f>311.1+543.5</f>
        <v>854.6</v>
      </c>
      <c r="H1098" s="20">
        <v>1266.29</v>
      </c>
      <c r="I1098" s="76">
        <f>506.2+893.6</f>
        <v>1399.8</v>
      </c>
      <c r="J1098" s="98"/>
      <c r="K1098" s="14"/>
      <c r="L1098" s="14"/>
      <c r="M1098" s="14"/>
    </row>
    <row r="1099" spans="1:13" x14ac:dyDescent="0.25">
      <c r="A1099" s="118"/>
      <c r="B1099" s="123"/>
      <c r="C1099" s="118"/>
      <c r="D1099" s="107" t="s">
        <v>309</v>
      </c>
      <c r="E1099" s="118"/>
      <c r="F1099" s="118"/>
      <c r="G1099" s="20">
        <f>811.26</f>
        <v>811.26</v>
      </c>
      <c r="H1099" s="20">
        <v>799.5</v>
      </c>
      <c r="I1099" s="76">
        <f>919.71</f>
        <v>919.71</v>
      </c>
      <c r="J1099" s="98"/>
      <c r="K1099" s="14"/>
      <c r="L1099" s="14"/>
      <c r="M1099" s="14"/>
    </row>
    <row r="1100" spans="1:13" x14ac:dyDescent="0.25">
      <c r="A1100" s="118"/>
      <c r="B1100" s="123"/>
      <c r="C1100" s="118"/>
      <c r="D1100" s="107" t="s">
        <v>310</v>
      </c>
      <c r="E1100" s="118"/>
      <c r="F1100" s="118"/>
      <c r="G1100" s="20">
        <f>6538.16</f>
        <v>6538.16</v>
      </c>
      <c r="H1100" s="20">
        <v>7076.49</v>
      </c>
      <c r="I1100" s="76">
        <f>7252.78</f>
        <v>7252.78</v>
      </c>
      <c r="J1100" s="98"/>
      <c r="K1100" s="14"/>
      <c r="L1100" s="14"/>
      <c r="M1100" s="14"/>
    </row>
    <row r="1101" spans="1:13" x14ac:dyDescent="0.25">
      <c r="A1101" s="321"/>
      <c r="B1101" s="123"/>
      <c r="C1101" s="141"/>
      <c r="D1101" s="99" t="s">
        <v>306</v>
      </c>
      <c r="E1101" s="117"/>
      <c r="F1101" s="117"/>
      <c r="G1101" s="20">
        <f>426.33</f>
        <v>426.33</v>
      </c>
      <c r="H1101" s="20">
        <v>275.39999999999998</v>
      </c>
      <c r="I1101" s="76">
        <f>298.57</f>
        <v>298.57</v>
      </c>
      <c r="J1101" s="98"/>
      <c r="K1101" s="14"/>
      <c r="L1101" s="14"/>
      <c r="M1101" s="14"/>
    </row>
    <row r="1102" spans="1:13" ht="45.75" customHeight="1" x14ac:dyDescent="0.25">
      <c r="A1102" s="116" t="s">
        <v>1224</v>
      </c>
      <c r="B1102" s="123"/>
      <c r="C1102" s="116" t="s">
        <v>204</v>
      </c>
      <c r="D1102" s="116" t="s">
        <v>1940</v>
      </c>
      <c r="E1102" s="99" t="s">
        <v>1230</v>
      </c>
      <c r="F1102" s="116" t="s">
        <v>426</v>
      </c>
      <c r="G1102" s="112">
        <v>78512</v>
      </c>
      <c r="H1102" s="112">
        <v>62166</v>
      </c>
      <c r="I1102" s="92">
        <v>57080</v>
      </c>
      <c r="J1102" s="98"/>
      <c r="K1102" s="14"/>
      <c r="L1102" s="14"/>
      <c r="M1102" s="14"/>
    </row>
    <row r="1103" spans="1:13" ht="48.75" customHeight="1" x14ac:dyDescent="0.25">
      <c r="A1103" s="118"/>
      <c r="B1103" s="123"/>
      <c r="C1103" s="118"/>
      <c r="D1103" s="141"/>
      <c r="E1103" s="107" t="s">
        <v>1231</v>
      </c>
      <c r="F1103" s="117"/>
      <c r="G1103" s="19">
        <v>16773</v>
      </c>
      <c r="H1103" s="19">
        <v>12974</v>
      </c>
      <c r="I1103" s="73">
        <v>12134</v>
      </c>
      <c r="J1103" s="98"/>
      <c r="K1103" s="14"/>
      <c r="L1103" s="14"/>
      <c r="M1103" s="14"/>
    </row>
    <row r="1104" spans="1:13" ht="44.25" customHeight="1" x14ac:dyDescent="0.25">
      <c r="A1104" s="118"/>
      <c r="B1104" s="123"/>
      <c r="C1104" s="118"/>
      <c r="D1104" s="107" t="s">
        <v>1232</v>
      </c>
      <c r="E1104" s="116" t="s">
        <v>16</v>
      </c>
      <c r="F1104" s="116" t="s">
        <v>68</v>
      </c>
      <c r="G1104" s="51">
        <f>621.2+1775.67+2512.3+101.27+482.92+911.08+668.5+206.9+802.3+1292.6+1009.58+413.17+468.6+734.1+506.6+1496.34+1214.65+441.31+994.6+1720.37+144.83</f>
        <v>18518.89</v>
      </c>
      <c r="H1104" s="51">
        <v>20945.009999999998</v>
      </c>
      <c r="I1104" s="78">
        <f>629.42+2819.99+3187.5+1.2+393.72+228.6+1031.2+178.3+782.9+1683.05+1114.52+960.58+501.27+776.1+537.8+1861.78+1144.81+646.57+1140.4+1799.73+191.22</f>
        <v>21610.660000000003</v>
      </c>
      <c r="J1104" s="98"/>
      <c r="K1104" s="14"/>
      <c r="L1104" s="14"/>
      <c r="M1104" s="14"/>
    </row>
    <row r="1105" spans="1:13" x14ac:dyDescent="0.25">
      <c r="A1105" s="118"/>
      <c r="B1105" s="123"/>
      <c r="C1105" s="118"/>
      <c r="D1105" s="107" t="s">
        <v>310</v>
      </c>
      <c r="E1105" s="118"/>
      <c r="F1105" s="118"/>
      <c r="G1105" s="20">
        <f>551.05</f>
        <v>551.04999999999995</v>
      </c>
      <c r="H1105" s="20">
        <v>1003.64</v>
      </c>
      <c r="I1105" s="76">
        <f>1029.3</f>
        <v>1029.3</v>
      </c>
      <c r="J1105" s="98"/>
      <c r="K1105" s="14"/>
      <c r="L1105" s="14"/>
      <c r="M1105" s="14"/>
    </row>
    <row r="1106" spans="1:13" x14ac:dyDescent="0.25">
      <c r="A1106" s="118"/>
      <c r="B1106" s="123"/>
      <c r="C1106" s="118"/>
      <c r="D1106" s="107" t="s">
        <v>309</v>
      </c>
      <c r="E1106" s="118"/>
      <c r="F1106" s="118"/>
      <c r="G1106" s="20">
        <f>1663.1</f>
        <v>1663.1</v>
      </c>
      <c r="H1106" s="20">
        <v>1639.5</v>
      </c>
      <c r="I1106" s="76">
        <f>1885.42</f>
        <v>1885.42</v>
      </c>
      <c r="J1106" s="98"/>
      <c r="K1106" s="14"/>
      <c r="L1106" s="14"/>
      <c r="M1106" s="14"/>
    </row>
    <row r="1107" spans="1:13" x14ac:dyDescent="0.25">
      <c r="A1107" s="118"/>
      <c r="B1107" s="123"/>
      <c r="C1107" s="118"/>
      <c r="D1107" s="107" t="s">
        <v>315</v>
      </c>
      <c r="E1107" s="118"/>
      <c r="F1107" s="118"/>
      <c r="G1107" s="20">
        <f>3080.3</f>
        <v>3080.3</v>
      </c>
      <c r="H1107" s="20">
        <v>3092.55</v>
      </c>
      <c r="I1107" s="76">
        <f>3284.9</f>
        <v>3284.9</v>
      </c>
      <c r="J1107" s="98"/>
      <c r="K1107" s="14"/>
      <c r="L1107" s="14"/>
      <c r="M1107" s="14"/>
    </row>
    <row r="1108" spans="1:13" x14ac:dyDescent="0.25">
      <c r="A1108" s="118"/>
      <c r="B1108" s="123"/>
      <c r="C1108" s="118"/>
      <c r="D1108" s="107" t="s">
        <v>303</v>
      </c>
      <c r="E1108" s="118"/>
      <c r="F1108" s="118"/>
      <c r="G1108" s="20">
        <f>904.84</f>
        <v>904.84</v>
      </c>
      <c r="H1108" s="20">
        <v>1350.22</v>
      </c>
      <c r="I1108" s="76">
        <f>1415.22</f>
        <v>1415.22</v>
      </c>
      <c r="J1108" s="98"/>
      <c r="K1108" s="14"/>
      <c r="L1108" s="14"/>
      <c r="M1108" s="14"/>
    </row>
    <row r="1109" spans="1:13" x14ac:dyDescent="0.25">
      <c r="A1109" s="117"/>
      <c r="B1109" s="123"/>
      <c r="C1109" s="117"/>
      <c r="D1109" s="107" t="s">
        <v>306</v>
      </c>
      <c r="E1109" s="117"/>
      <c r="F1109" s="117"/>
      <c r="G1109" s="20">
        <f>1808.8</f>
        <v>1808.8</v>
      </c>
      <c r="H1109" s="20">
        <v>1674.67</v>
      </c>
      <c r="I1109" s="76">
        <f>1820.75</f>
        <v>1820.75</v>
      </c>
      <c r="J1109" s="98"/>
      <c r="K1109" s="14"/>
      <c r="L1109" s="14"/>
      <c r="M1109" s="14"/>
    </row>
    <row r="1110" spans="1:13" ht="180.75" customHeight="1" x14ac:dyDescent="0.25">
      <c r="A1110" s="116" t="s">
        <v>1237</v>
      </c>
      <c r="B1110" s="123"/>
      <c r="C1110" s="125" t="s">
        <v>1233</v>
      </c>
      <c r="D1110" s="116" t="s">
        <v>1941</v>
      </c>
      <c r="E1110" s="107" t="s">
        <v>1234</v>
      </c>
      <c r="F1110" s="116" t="s">
        <v>426</v>
      </c>
      <c r="G1110" s="19">
        <v>40541</v>
      </c>
      <c r="H1110" s="19">
        <v>32463</v>
      </c>
      <c r="I1110" s="73">
        <v>33410</v>
      </c>
      <c r="J1110" s="98"/>
      <c r="K1110" s="14"/>
      <c r="L1110" s="14"/>
      <c r="M1110" s="14"/>
    </row>
    <row r="1111" spans="1:13" ht="195" customHeight="1" x14ac:dyDescent="0.25">
      <c r="A1111" s="118"/>
      <c r="B1111" s="123"/>
      <c r="C1111" s="126"/>
      <c r="D1111" s="117"/>
      <c r="E1111" s="107" t="s">
        <v>1235</v>
      </c>
      <c r="F1111" s="117"/>
      <c r="G1111" s="19">
        <v>21002</v>
      </c>
      <c r="H1111" s="19">
        <v>13367</v>
      </c>
      <c r="I1111" s="73">
        <v>13739</v>
      </c>
      <c r="J1111" s="98"/>
      <c r="K1111" s="14"/>
      <c r="L1111" s="14"/>
      <c r="M1111" s="14"/>
    </row>
    <row r="1112" spans="1:13" ht="48" customHeight="1" x14ac:dyDescent="0.25">
      <c r="A1112" s="118"/>
      <c r="B1112" s="123"/>
      <c r="C1112" s="126"/>
      <c r="D1112" s="107" t="s">
        <v>1236</v>
      </c>
      <c r="E1112" s="116" t="s">
        <v>16</v>
      </c>
      <c r="F1112" s="119" t="s">
        <v>159</v>
      </c>
      <c r="G1112" s="51">
        <f>17943.03</f>
        <v>17943.03</v>
      </c>
      <c r="H1112" s="51">
        <v>18663.43</v>
      </c>
      <c r="I1112" s="78">
        <f>20352.03</f>
        <v>20352.03</v>
      </c>
      <c r="J1112" s="98"/>
      <c r="K1112" s="14"/>
      <c r="L1112" s="14"/>
      <c r="M1112" s="14"/>
    </row>
    <row r="1113" spans="1:13" ht="23.25" customHeight="1" x14ac:dyDescent="0.25">
      <c r="A1113" s="117"/>
      <c r="B1113" s="123"/>
      <c r="C1113" s="127"/>
      <c r="D1113" s="107" t="s">
        <v>315</v>
      </c>
      <c r="E1113" s="117"/>
      <c r="F1113" s="121"/>
      <c r="G1113" s="20">
        <f>28789.3</f>
        <v>28789.3</v>
      </c>
      <c r="H1113" s="20">
        <v>30259.03</v>
      </c>
      <c r="I1113" s="76">
        <f>32218.5</f>
        <v>32218.5</v>
      </c>
      <c r="J1113" s="98"/>
      <c r="K1113" s="14"/>
      <c r="L1113" s="14"/>
      <c r="M1113" s="14"/>
    </row>
    <row r="1114" spans="1:13" ht="177" customHeight="1" x14ac:dyDescent="0.25">
      <c r="A1114" s="116" t="s">
        <v>1241</v>
      </c>
      <c r="B1114" s="123"/>
      <c r="C1114" s="125" t="s">
        <v>204</v>
      </c>
      <c r="D1114" s="116" t="s">
        <v>1942</v>
      </c>
      <c r="E1114" s="101" t="s">
        <v>1238</v>
      </c>
      <c r="F1114" s="119" t="s">
        <v>426</v>
      </c>
      <c r="G1114" s="19">
        <v>3500</v>
      </c>
      <c r="H1114" s="19">
        <v>6000</v>
      </c>
      <c r="I1114" s="73">
        <v>6300</v>
      </c>
      <c r="J1114" s="98"/>
      <c r="K1114" s="14"/>
      <c r="L1114" s="14"/>
      <c r="M1114" s="14"/>
    </row>
    <row r="1115" spans="1:13" ht="184.5" customHeight="1" x14ac:dyDescent="0.25">
      <c r="A1115" s="118"/>
      <c r="B1115" s="123"/>
      <c r="C1115" s="126"/>
      <c r="D1115" s="117"/>
      <c r="E1115" s="101" t="s">
        <v>1239</v>
      </c>
      <c r="F1115" s="121"/>
      <c r="G1115" s="19">
        <v>9975</v>
      </c>
      <c r="H1115" s="19">
        <v>9000</v>
      </c>
      <c r="I1115" s="73">
        <v>9902</v>
      </c>
      <c r="J1115" s="98"/>
      <c r="K1115" s="14"/>
      <c r="L1115" s="14"/>
      <c r="M1115" s="14"/>
    </row>
    <row r="1116" spans="1:13" ht="48.75" customHeight="1" x14ac:dyDescent="0.25">
      <c r="A1116" s="118"/>
      <c r="B1116" s="123"/>
      <c r="C1116" s="126"/>
      <c r="D1116" s="99" t="s">
        <v>1240</v>
      </c>
      <c r="E1116" s="116" t="s">
        <v>16</v>
      </c>
      <c r="F1116" s="119" t="s">
        <v>6</v>
      </c>
      <c r="G1116" s="51">
        <v>20882.38</v>
      </c>
      <c r="H1116" s="51">
        <v>20008.38</v>
      </c>
      <c r="I1116" s="78">
        <v>20008.38</v>
      </c>
      <c r="J1116" s="98"/>
      <c r="K1116" s="14"/>
      <c r="L1116" s="14"/>
      <c r="M1116" s="14"/>
    </row>
    <row r="1117" spans="1:13" x14ac:dyDescent="0.25">
      <c r="A1117" s="118"/>
      <c r="B1117" s="123"/>
      <c r="C1117" s="126"/>
      <c r="D1117" s="99" t="s">
        <v>319</v>
      </c>
      <c r="E1117" s="118"/>
      <c r="F1117" s="120"/>
      <c r="G1117" s="20">
        <v>6314.78</v>
      </c>
      <c r="H1117" s="20">
        <v>6056.7</v>
      </c>
      <c r="I1117" s="76">
        <v>6056.7</v>
      </c>
      <c r="J1117" s="98"/>
      <c r="K1117" s="14"/>
      <c r="L1117" s="14"/>
      <c r="M1117" s="14"/>
    </row>
    <row r="1118" spans="1:13" x14ac:dyDescent="0.25">
      <c r="A1118" s="118"/>
      <c r="B1118" s="123"/>
      <c r="C1118" s="126"/>
      <c r="D1118" s="99" t="s">
        <v>320</v>
      </c>
      <c r="E1118" s="118"/>
      <c r="F1118" s="120"/>
      <c r="G1118" s="20">
        <v>49.2</v>
      </c>
      <c r="H1118" s="20">
        <v>47.31</v>
      </c>
      <c r="I1118" s="76">
        <v>47.31</v>
      </c>
      <c r="J1118" s="98"/>
      <c r="K1118" s="14"/>
      <c r="L1118" s="14"/>
      <c r="M1118" s="14"/>
    </row>
    <row r="1119" spans="1:13" x14ac:dyDescent="0.25">
      <c r="A1119" s="118"/>
      <c r="B1119" s="123"/>
      <c r="C1119" s="126"/>
      <c r="D1119" s="99" t="s">
        <v>321</v>
      </c>
      <c r="E1119" s="118"/>
      <c r="F1119" s="120"/>
      <c r="G1119" s="20">
        <v>3978.82</v>
      </c>
      <c r="H1119" s="20">
        <v>3820.94</v>
      </c>
      <c r="I1119" s="76">
        <v>3820.94</v>
      </c>
      <c r="J1119" s="98"/>
      <c r="K1119" s="14"/>
      <c r="L1119" s="14"/>
      <c r="M1119" s="14"/>
    </row>
    <row r="1120" spans="1:13" ht="21" customHeight="1" x14ac:dyDescent="0.25">
      <c r="A1120" s="117"/>
      <c r="B1120" s="123"/>
      <c r="C1120" s="127"/>
      <c r="D1120" s="99" t="s">
        <v>322</v>
      </c>
      <c r="E1120" s="117"/>
      <c r="F1120" s="121"/>
      <c r="G1120" s="20">
        <v>267.17</v>
      </c>
      <c r="H1120" s="20">
        <v>254.95</v>
      </c>
      <c r="I1120" s="76">
        <v>254.95</v>
      </c>
      <c r="J1120" s="98"/>
      <c r="K1120" s="14"/>
      <c r="L1120" s="14"/>
      <c r="M1120" s="14"/>
    </row>
    <row r="1121" spans="1:16" ht="212.25" customHeight="1" x14ac:dyDescent="0.25">
      <c r="A1121" s="118" t="s">
        <v>1243</v>
      </c>
      <c r="B1121" s="123"/>
      <c r="C1121" s="125" t="s">
        <v>204</v>
      </c>
      <c r="D1121" s="99" t="s">
        <v>1943</v>
      </c>
      <c r="E1121" s="107" t="s">
        <v>1242</v>
      </c>
      <c r="F1121" s="100" t="s">
        <v>426</v>
      </c>
      <c r="G1121" s="19">
        <v>5294</v>
      </c>
      <c r="H1121" s="19">
        <v>4868</v>
      </c>
      <c r="I1121" s="73">
        <v>5026</v>
      </c>
      <c r="J1121" s="98"/>
      <c r="K1121" s="14"/>
      <c r="L1121" s="14"/>
      <c r="M1121" s="14"/>
    </row>
    <row r="1122" spans="1:16" ht="30" customHeight="1" x14ac:dyDescent="0.25">
      <c r="A1122" s="118"/>
      <c r="B1122" s="123"/>
      <c r="C1122" s="126"/>
      <c r="D1122" s="116" t="s">
        <v>535</v>
      </c>
      <c r="E1122" s="116" t="s">
        <v>16</v>
      </c>
      <c r="F1122" s="116" t="s">
        <v>159</v>
      </c>
      <c r="G1122" s="166">
        <v>37594.9</v>
      </c>
      <c r="H1122" s="166">
        <v>40434.9</v>
      </c>
      <c r="I1122" s="170">
        <v>46955.74</v>
      </c>
      <c r="J1122" s="98"/>
      <c r="K1122" s="14"/>
      <c r="L1122" s="14"/>
      <c r="M1122" s="14"/>
    </row>
    <row r="1123" spans="1:16" ht="32.25" customHeight="1" x14ac:dyDescent="0.25">
      <c r="A1123" s="117"/>
      <c r="B1123" s="123"/>
      <c r="C1123" s="127"/>
      <c r="D1123" s="117"/>
      <c r="E1123" s="117"/>
      <c r="F1123" s="117"/>
      <c r="G1123" s="167"/>
      <c r="H1123" s="167"/>
      <c r="I1123" s="171"/>
      <c r="J1123" s="98"/>
      <c r="K1123" s="14"/>
      <c r="L1123" s="14"/>
      <c r="M1123" s="14"/>
      <c r="P1123" s="47"/>
    </row>
    <row r="1124" spans="1:16" ht="60" x14ac:dyDescent="0.25">
      <c r="A1124" s="116" t="s">
        <v>1247</v>
      </c>
      <c r="B1124" s="123"/>
      <c r="C1124" s="116" t="s">
        <v>1244</v>
      </c>
      <c r="D1124" s="107" t="s">
        <v>1944</v>
      </c>
      <c r="E1124" s="107" t="s">
        <v>1245</v>
      </c>
      <c r="F1124" s="107" t="s">
        <v>426</v>
      </c>
      <c r="G1124" s="19">
        <v>260</v>
      </c>
      <c r="H1124" s="19">
        <v>260</v>
      </c>
      <c r="I1124" s="73">
        <v>167</v>
      </c>
      <c r="J1124" s="98"/>
      <c r="K1124" s="14"/>
      <c r="L1124" s="14"/>
      <c r="M1124" s="14"/>
    </row>
    <row r="1125" spans="1:16" ht="12" hidden="1" customHeight="1" x14ac:dyDescent="0.25">
      <c r="A1125" s="118"/>
      <c r="B1125" s="123"/>
      <c r="C1125" s="118"/>
      <c r="D1125" s="116" t="s">
        <v>1246</v>
      </c>
      <c r="E1125" s="116" t="s">
        <v>16</v>
      </c>
      <c r="F1125" s="116" t="s">
        <v>6</v>
      </c>
      <c r="G1125" s="166">
        <f>5950.74</f>
        <v>5950.74</v>
      </c>
      <c r="H1125" s="166">
        <v>6412.3</v>
      </c>
      <c r="I1125" s="170">
        <f>6541.62</f>
        <v>6541.62</v>
      </c>
      <c r="J1125" s="98"/>
      <c r="K1125" s="14"/>
      <c r="L1125" s="14"/>
      <c r="M1125" s="14"/>
    </row>
    <row r="1126" spans="1:16" ht="57" customHeight="1" x14ac:dyDescent="0.25">
      <c r="A1126" s="117"/>
      <c r="B1126" s="123"/>
      <c r="C1126" s="117"/>
      <c r="D1126" s="117"/>
      <c r="E1126" s="117"/>
      <c r="F1126" s="117"/>
      <c r="G1126" s="167"/>
      <c r="H1126" s="167"/>
      <c r="I1126" s="171"/>
      <c r="J1126" s="98"/>
      <c r="K1126" s="14"/>
      <c r="L1126" s="14"/>
      <c r="M1126" s="14"/>
    </row>
    <row r="1127" spans="1:16" ht="60" x14ac:dyDescent="0.25">
      <c r="A1127" s="116" t="s">
        <v>1250</v>
      </c>
      <c r="B1127" s="123"/>
      <c r="C1127" s="116" t="s">
        <v>1248</v>
      </c>
      <c r="D1127" s="99" t="s">
        <v>1945</v>
      </c>
      <c r="E1127" s="99" t="s">
        <v>1249</v>
      </c>
      <c r="F1127" s="99" t="s">
        <v>426</v>
      </c>
      <c r="G1127" s="112">
        <v>3585</v>
      </c>
      <c r="H1127" s="112">
        <v>3050</v>
      </c>
      <c r="I1127" s="92">
        <v>2703</v>
      </c>
      <c r="J1127" s="98"/>
      <c r="K1127" s="14"/>
      <c r="L1127" s="14"/>
      <c r="M1127" s="14"/>
    </row>
    <row r="1128" spans="1:16" ht="45" customHeight="1" x14ac:dyDescent="0.25">
      <c r="A1128" s="118"/>
      <c r="B1128" s="123"/>
      <c r="C1128" s="118"/>
      <c r="D1128" s="99" t="s">
        <v>1240</v>
      </c>
      <c r="E1128" s="116" t="s">
        <v>16</v>
      </c>
      <c r="F1128" s="116" t="s">
        <v>6</v>
      </c>
      <c r="G1128" s="64">
        <v>241656.94</v>
      </c>
      <c r="H1128" s="64">
        <v>322317.2</v>
      </c>
      <c r="I1128" s="93">
        <v>322317.2</v>
      </c>
      <c r="J1128" s="98"/>
      <c r="K1128" s="14"/>
      <c r="L1128" s="14"/>
      <c r="M1128" s="14"/>
    </row>
    <row r="1129" spans="1:16" x14ac:dyDescent="0.25">
      <c r="A1129" s="118"/>
      <c r="B1129" s="123"/>
      <c r="C1129" s="118"/>
      <c r="D1129" s="99" t="s">
        <v>319</v>
      </c>
      <c r="E1129" s="118"/>
      <c r="F1129" s="118"/>
      <c r="G1129" s="103">
        <v>78276.600000000006</v>
      </c>
      <c r="H1129" s="103">
        <v>103357.5</v>
      </c>
      <c r="I1129" s="102">
        <v>103357.5</v>
      </c>
      <c r="J1129" s="98"/>
      <c r="K1129" s="14"/>
      <c r="L1129" s="14"/>
      <c r="M1129" s="14"/>
    </row>
    <row r="1130" spans="1:16" x14ac:dyDescent="0.25">
      <c r="A1130" s="118"/>
      <c r="B1130" s="123"/>
      <c r="C1130" s="118"/>
      <c r="D1130" s="99" t="s">
        <v>328</v>
      </c>
      <c r="E1130" s="118"/>
      <c r="F1130" s="118"/>
      <c r="G1130" s="103">
        <v>449.5</v>
      </c>
      <c r="H1130" s="103">
        <v>444.3</v>
      </c>
      <c r="I1130" s="102">
        <v>444.3</v>
      </c>
      <c r="J1130" s="98"/>
      <c r="K1130" s="14"/>
      <c r="L1130" s="14"/>
      <c r="M1130" s="14"/>
    </row>
    <row r="1131" spans="1:16" x14ac:dyDescent="0.25">
      <c r="A1131" s="118"/>
      <c r="B1131" s="123"/>
      <c r="C1131" s="118"/>
      <c r="D1131" s="99" t="s">
        <v>320</v>
      </c>
      <c r="E1131" s="118"/>
      <c r="F1131" s="118"/>
      <c r="G1131" s="103">
        <v>1663.8</v>
      </c>
      <c r="H1131" s="103">
        <v>2238.64</v>
      </c>
      <c r="I1131" s="102">
        <v>2235.5300000000002</v>
      </c>
      <c r="J1131" s="98"/>
      <c r="K1131" s="14"/>
      <c r="L1131" s="14"/>
      <c r="M1131" s="14"/>
    </row>
    <row r="1132" spans="1:16" x14ac:dyDescent="0.25">
      <c r="A1132" s="118"/>
      <c r="B1132" s="123"/>
      <c r="C1132" s="118"/>
      <c r="D1132" s="99" t="s">
        <v>321</v>
      </c>
      <c r="E1132" s="118"/>
      <c r="F1132" s="118"/>
      <c r="G1132" s="103">
        <v>148500.76</v>
      </c>
      <c r="H1132" s="103">
        <v>161019.53</v>
      </c>
      <c r="I1132" s="102">
        <v>160245.72</v>
      </c>
      <c r="J1132" s="98"/>
      <c r="K1132" s="14"/>
      <c r="L1132" s="14"/>
      <c r="M1132" s="14"/>
    </row>
    <row r="1133" spans="1:16" x14ac:dyDescent="0.25">
      <c r="A1133" s="118"/>
      <c r="B1133" s="123"/>
      <c r="C1133" s="118"/>
      <c r="D1133" s="99" t="s">
        <v>322</v>
      </c>
      <c r="E1133" s="118"/>
      <c r="F1133" s="118"/>
      <c r="G1133" s="103">
        <v>12558.53</v>
      </c>
      <c r="H1133" s="103">
        <v>6372.98</v>
      </c>
      <c r="I1133" s="102">
        <v>6372.98</v>
      </c>
      <c r="J1133" s="98"/>
      <c r="K1133" s="14"/>
      <c r="L1133" s="14"/>
      <c r="M1133" s="14"/>
    </row>
    <row r="1134" spans="1:16" x14ac:dyDescent="0.25">
      <c r="A1134" s="118"/>
      <c r="B1134" s="123"/>
      <c r="C1134" s="118"/>
      <c r="D1134" s="5" t="s">
        <v>330</v>
      </c>
      <c r="E1134" s="118"/>
      <c r="F1134" s="118"/>
      <c r="G1134" s="20">
        <f>3170.76+1522.2+3919</f>
        <v>8611.9599999999991</v>
      </c>
      <c r="H1134" s="103">
        <v>8359.57</v>
      </c>
      <c r="I1134" s="102">
        <f>2918.25+1638.5+4073.3</f>
        <v>8630.0499999999993</v>
      </c>
      <c r="J1134" s="98"/>
      <c r="K1134" s="14"/>
      <c r="L1134" s="14"/>
      <c r="M1134" s="14"/>
    </row>
    <row r="1135" spans="1:16" x14ac:dyDescent="0.25">
      <c r="A1135" s="118"/>
      <c r="B1135" s="123"/>
      <c r="C1135" s="118"/>
      <c r="D1135" s="5" t="s">
        <v>306</v>
      </c>
      <c r="E1135" s="118"/>
      <c r="F1135" s="118"/>
      <c r="G1135" s="20">
        <f>11393.89</f>
        <v>11393.89</v>
      </c>
      <c r="H1135" s="24">
        <v>11144.6</v>
      </c>
      <c r="I1135" s="94">
        <f>12315.41</f>
        <v>12315.41</v>
      </c>
      <c r="J1135" s="98"/>
      <c r="K1135" s="14"/>
      <c r="L1135" s="14"/>
      <c r="M1135" s="14"/>
    </row>
    <row r="1136" spans="1:16" ht="60" x14ac:dyDescent="0.25">
      <c r="A1136" s="116" t="s">
        <v>1253</v>
      </c>
      <c r="B1136" s="123"/>
      <c r="C1136" s="116" t="s">
        <v>1244</v>
      </c>
      <c r="D1136" s="107" t="s">
        <v>1946</v>
      </c>
      <c r="E1136" s="107" t="s">
        <v>1251</v>
      </c>
      <c r="F1136" s="107" t="s">
        <v>426</v>
      </c>
      <c r="G1136" s="19">
        <v>860</v>
      </c>
      <c r="H1136" s="19">
        <v>618</v>
      </c>
      <c r="I1136" s="73">
        <v>598</v>
      </c>
      <c r="J1136" s="98"/>
      <c r="K1136" s="14"/>
      <c r="L1136" s="14"/>
      <c r="M1136" s="14"/>
    </row>
    <row r="1137" spans="1:13" ht="17.25" hidden="1" customHeight="1" x14ac:dyDescent="0.25">
      <c r="A1137" s="118"/>
      <c r="B1137" s="123"/>
      <c r="C1137" s="118"/>
      <c r="D1137" s="116" t="s">
        <v>1252</v>
      </c>
      <c r="E1137" s="116" t="s">
        <v>16</v>
      </c>
      <c r="F1137" s="116" t="s">
        <v>6</v>
      </c>
      <c r="G1137" s="166">
        <f>125272.06+99596.64</f>
        <v>224868.7</v>
      </c>
      <c r="H1137" s="166">
        <v>232927.89</v>
      </c>
      <c r="I1137" s="170">
        <f>141621+106212.41</f>
        <v>247833.41</v>
      </c>
      <c r="J1137" s="98"/>
      <c r="K1137" s="14"/>
      <c r="L1137" s="14"/>
      <c r="M1137" s="14"/>
    </row>
    <row r="1138" spans="1:13" ht="57.75" customHeight="1" x14ac:dyDescent="0.25">
      <c r="A1138" s="117"/>
      <c r="B1138" s="123"/>
      <c r="C1138" s="117"/>
      <c r="D1138" s="117"/>
      <c r="E1138" s="117"/>
      <c r="F1138" s="117"/>
      <c r="G1138" s="167"/>
      <c r="H1138" s="167"/>
      <c r="I1138" s="171"/>
      <c r="J1138" s="98"/>
      <c r="K1138" s="14"/>
      <c r="L1138" s="14"/>
      <c r="M1138" s="14"/>
    </row>
    <row r="1139" spans="1:13" ht="60" x14ac:dyDescent="0.25">
      <c r="A1139" s="116" t="s">
        <v>1256</v>
      </c>
      <c r="B1139" s="123"/>
      <c r="C1139" s="116" t="s">
        <v>1244</v>
      </c>
      <c r="D1139" s="107" t="s">
        <v>1947</v>
      </c>
      <c r="E1139" s="107" t="s">
        <v>1254</v>
      </c>
      <c r="F1139" s="107" t="s">
        <v>426</v>
      </c>
      <c r="G1139" s="19">
        <v>2580</v>
      </c>
      <c r="H1139" s="19">
        <v>1706</v>
      </c>
      <c r="I1139" s="73">
        <v>1673</v>
      </c>
      <c r="J1139" s="98"/>
      <c r="K1139" s="14"/>
      <c r="L1139" s="14"/>
      <c r="M1139" s="14"/>
    </row>
    <row r="1140" spans="1:13" ht="45" customHeight="1" x14ac:dyDescent="0.25">
      <c r="A1140" s="118"/>
      <c r="B1140" s="123"/>
      <c r="C1140" s="118"/>
      <c r="D1140" s="107" t="s">
        <v>1255</v>
      </c>
      <c r="E1140" s="116" t="s">
        <v>16</v>
      </c>
      <c r="F1140" s="116" t="s">
        <v>6</v>
      </c>
      <c r="G1140" s="51">
        <f>4004.65+5134+3587.9</f>
        <v>12726.55</v>
      </c>
      <c r="H1140" s="51">
        <v>11773.45</v>
      </c>
      <c r="I1140" s="78">
        <f>4336.52+3974.1+3793.4</f>
        <v>12104.02</v>
      </c>
      <c r="J1140" s="98"/>
      <c r="K1140" s="14"/>
      <c r="L1140" s="14"/>
      <c r="M1140" s="14"/>
    </row>
    <row r="1141" spans="1:13" x14ac:dyDescent="0.25">
      <c r="A1141" s="118"/>
      <c r="B1141" s="123"/>
      <c r="C1141" s="118"/>
      <c r="D1141" s="107" t="s">
        <v>304</v>
      </c>
      <c r="E1141" s="118"/>
      <c r="F1141" s="118"/>
      <c r="G1141" s="20">
        <f>62293.47</f>
        <v>62293.47</v>
      </c>
      <c r="H1141" s="20">
        <v>61092.27</v>
      </c>
      <c r="I1141" s="76">
        <f>66634.84</f>
        <v>66634.84</v>
      </c>
      <c r="J1141" s="98"/>
      <c r="K1141" s="14"/>
      <c r="L1141" s="14"/>
      <c r="M1141" s="14"/>
    </row>
    <row r="1142" spans="1:13" ht="18" customHeight="1" x14ac:dyDescent="0.25">
      <c r="A1142" s="117"/>
      <c r="B1142" s="123"/>
      <c r="C1142" s="117"/>
      <c r="D1142" s="107" t="s">
        <v>306</v>
      </c>
      <c r="E1142" s="117"/>
      <c r="F1142" s="117"/>
      <c r="G1142" s="20">
        <f>9581.23</f>
        <v>9581.23</v>
      </c>
      <c r="H1142" s="20">
        <v>9345.59</v>
      </c>
      <c r="I1142" s="76">
        <f>10356.14</f>
        <v>10356.14</v>
      </c>
      <c r="J1142" s="98"/>
      <c r="K1142" s="14"/>
      <c r="L1142" s="14"/>
      <c r="M1142" s="14"/>
    </row>
    <row r="1143" spans="1:13" ht="60" x14ac:dyDescent="0.25">
      <c r="A1143" s="116" t="s">
        <v>1259</v>
      </c>
      <c r="B1143" s="123"/>
      <c r="C1143" s="116" t="s">
        <v>1244</v>
      </c>
      <c r="D1143" s="107" t="s">
        <v>1948</v>
      </c>
      <c r="E1143" s="107" t="s">
        <v>1258</v>
      </c>
      <c r="F1143" s="107" t="s">
        <v>426</v>
      </c>
      <c r="G1143" s="19">
        <v>41</v>
      </c>
      <c r="H1143" s="19">
        <v>16</v>
      </c>
      <c r="I1143" s="73">
        <v>16</v>
      </c>
      <c r="J1143" s="98"/>
      <c r="K1143" s="14"/>
      <c r="L1143" s="14"/>
      <c r="M1143" s="14"/>
    </row>
    <row r="1144" spans="1:13" ht="45" customHeight="1" x14ac:dyDescent="0.25">
      <c r="A1144" s="118"/>
      <c r="B1144" s="123"/>
      <c r="C1144" s="118"/>
      <c r="D1144" s="116" t="s">
        <v>1257</v>
      </c>
      <c r="E1144" s="116" t="s">
        <v>16</v>
      </c>
      <c r="F1144" s="116" t="s">
        <v>6</v>
      </c>
      <c r="G1144" s="166">
        <f>1556.2</f>
        <v>1556.2</v>
      </c>
      <c r="H1144" s="166">
        <v>319.93</v>
      </c>
      <c r="I1144" s="170">
        <f>314.3</f>
        <v>314.3</v>
      </c>
      <c r="J1144" s="98"/>
      <c r="K1144" s="14"/>
      <c r="L1144" s="14"/>
      <c r="M1144" s="14"/>
    </row>
    <row r="1145" spans="1:13" ht="13.5" customHeight="1" x14ac:dyDescent="0.25">
      <c r="A1145" s="117"/>
      <c r="B1145" s="123"/>
      <c r="C1145" s="117"/>
      <c r="D1145" s="117"/>
      <c r="E1145" s="117"/>
      <c r="F1145" s="117"/>
      <c r="G1145" s="167"/>
      <c r="H1145" s="167"/>
      <c r="I1145" s="171"/>
      <c r="J1145" s="98"/>
      <c r="K1145" s="14"/>
      <c r="L1145" s="14"/>
      <c r="M1145" s="14"/>
    </row>
    <row r="1146" spans="1:13" ht="60" x14ac:dyDescent="0.25">
      <c r="A1146" s="116" t="s">
        <v>1262</v>
      </c>
      <c r="B1146" s="123"/>
      <c r="C1146" s="116" t="s">
        <v>1244</v>
      </c>
      <c r="D1146" s="107" t="s">
        <v>1949</v>
      </c>
      <c r="E1146" s="107" t="s">
        <v>1261</v>
      </c>
      <c r="F1146" s="107" t="s">
        <v>426</v>
      </c>
      <c r="G1146" s="19">
        <v>30</v>
      </c>
      <c r="H1146" s="19">
        <v>30</v>
      </c>
      <c r="I1146" s="73">
        <v>19</v>
      </c>
      <c r="J1146" s="98"/>
      <c r="K1146" s="14"/>
      <c r="L1146" s="14"/>
      <c r="M1146" s="14"/>
    </row>
    <row r="1147" spans="1:13" ht="45" customHeight="1" x14ac:dyDescent="0.25">
      <c r="A1147" s="118"/>
      <c r="B1147" s="123"/>
      <c r="C1147" s="118"/>
      <c r="D1147" s="116" t="s">
        <v>1246</v>
      </c>
      <c r="E1147" s="116" t="s">
        <v>16</v>
      </c>
      <c r="F1147" s="116" t="s">
        <v>6</v>
      </c>
      <c r="G1147" s="166">
        <f>280.94</f>
        <v>280.94</v>
      </c>
      <c r="H1147" s="166">
        <v>317.7</v>
      </c>
      <c r="I1147" s="170">
        <f>325.12</f>
        <v>325.12</v>
      </c>
      <c r="J1147" s="98"/>
      <c r="K1147" s="14"/>
      <c r="L1147" s="14"/>
      <c r="M1147" s="14"/>
    </row>
    <row r="1148" spans="1:13" ht="19.5" customHeight="1" x14ac:dyDescent="0.25">
      <c r="A1148" s="117"/>
      <c r="B1148" s="123"/>
      <c r="C1148" s="117"/>
      <c r="D1148" s="117"/>
      <c r="E1148" s="117"/>
      <c r="F1148" s="117"/>
      <c r="G1148" s="167"/>
      <c r="H1148" s="167"/>
      <c r="I1148" s="171"/>
      <c r="J1148" s="98"/>
      <c r="K1148" s="14"/>
      <c r="L1148" s="14"/>
      <c r="M1148" s="14"/>
    </row>
    <row r="1149" spans="1:13" ht="60" x14ac:dyDescent="0.25">
      <c r="A1149" s="116" t="s">
        <v>1265</v>
      </c>
      <c r="B1149" s="123"/>
      <c r="C1149" s="116" t="s">
        <v>1244</v>
      </c>
      <c r="D1149" s="107" t="s">
        <v>1950</v>
      </c>
      <c r="E1149" s="99" t="s">
        <v>1263</v>
      </c>
      <c r="F1149" s="99" t="s">
        <v>426</v>
      </c>
      <c r="G1149" s="112">
        <v>1950</v>
      </c>
      <c r="H1149" s="112">
        <v>1476</v>
      </c>
      <c r="I1149" s="92">
        <v>1349</v>
      </c>
      <c r="J1149" s="98"/>
      <c r="K1149" s="14"/>
      <c r="L1149" s="14"/>
      <c r="M1149" s="14"/>
    </row>
    <row r="1150" spans="1:13" ht="47.25" customHeight="1" x14ac:dyDescent="0.25">
      <c r="A1150" s="118"/>
      <c r="B1150" s="123"/>
      <c r="C1150" s="118"/>
      <c r="D1150" s="107" t="s">
        <v>1264</v>
      </c>
      <c r="E1150" s="116" t="s">
        <v>16</v>
      </c>
      <c r="F1150" s="116" t="s">
        <v>6</v>
      </c>
      <c r="G1150" s="64">
        <v>19183.419999999998</v>
      </c>
      <c r="H1150" s="64">
        <v>14920.44</v>
      </c>
      <c r="I1150" s="93">
        <v>14920.44</v>
      </c>
      <c r="J1150" s="98"/>
      <c r="K1150" s="14"/>
      <c r="L1150" s="14"/>
      <c r="M1150" s="14"/>
    </row>
    <row r="1151" spans="1:13" x14ac:dyDescent="0.25">
      <c r="A1151" s="118"/>
      <c r="B1151" s="123"/>
      <c r="C1151" s="118"/>
      <c r="D1151" s="107" t="s">
        <v>319</v>
      </c>
      <c r="E1151" s="118"/>
      <c r="F1151" s="118"/>
      <c r="G1151" s="103">
        <v>5793.39</v>
      </c>
      <c r="H1151" s="103">
        <v>4505.97</v>
      </c>
      <c r="I1151" s="102">
        <v>4505.97</v>
      </c>
      <c r="J1151" s="98"/>
      <c r="K1151" s="14"/>
      <c r="L1151" s="14"/>
      <c r="M1151" s="14"/>
    </row>
    <row r="1152" spans="1:13" x14ac:dyDescent="0.25">
      <c r="A1152" s="118"/>
      <c r="B1152" s="123"/>
      <c r="C1152" s="118"/>
      <c r="D1152" s="107" t="s">
        <v>320</v>
      </c>
      <c r="E1152" s="118"/>
      <c r="F1152" s="118"/>
      <c r="G1152" s="103">
        <v>20</v>
      </c>
      <c r="H1152" s="103">
        <v>15.55</v>
      </c>
      <c r="I1152" s="102">
        <v>15.55</v>
      </c>
      <c r="J1152" s="98"/>
      <c r="K1152" s="14"/>
      <c r="L1152" s="14"/>
      <c r="M1152" s="14"/>
    </row>
    <row r="1153" spans="1:13" x14ac:dyDescent="0.25">
      <c r="A1153" s="118"/>
      <c r="B1153" s="123"/>
      <c r="C1153" s="118"/>
      <c r="D1153" s="107" t="s">
        <v>321</v>
      </c>
      <c r="E1153" s="118"/>
      <c r="F1153" s="118"/>
      <c r="G1153" s="103">
        <v>8132.14</v>
      </c>
      <c r="H1153" s="103">
        <v>6325.44</v>
      </c>
      <c r="I1153" s="102">
        <v>6325.44</v>
      </c>
      <c r="J1153" s="98"/>
      <c r="K1153" s="14"/>
      <c r="L1153" s="14"/>
      <c r="M1153" s="14"/>
    </row>
    <row r="1154" spans="1:13" x14ac:dyDescent="0.25">
      <c r="A1154" s="118"/>
      <c r="B1154" s="123"/>
      <c r="C1154" s="118"/>
      <c r="D1154" s="107" t="s">
        <v>322</v>
      </c>
      <c r="E1154" s="118"/>
      <c r="F1154" s="118"/>
      <c r="G1154" s="103">
        <v>506.05</v>
      </c>
      <c r="H1154" s="103">
        <v>393.6</v>
      </c>
      <c r="I1154" s="102">
        <v>393.6</v>
      </c>
      <c r="J1154" s="98"/>
      <c r="K1154" s="14"/>
      <c r="L1154" s="14"/>
      <c r="M1154" s="14"/>
    </row>
    <row r="1155" spans="1:13" x14ac:dyDescent="0.25">
      <c r="A1155" s="118"/>
      <c r="B1155" s="123"/>
      <c r="C1155" s="118"/>
      <c r="D1155" s="107" t="s">
        <v>306</v>
      </c>
      <c r="E1155" s="118"/>
      <c r="F1155" s="118"/>
      <c r="G1155" s="103">
        <f>1726.42</f>
        <v>1726.42</v>
      </c>
      <c r="H1155" s="103">
        <v>1657.61</v>
      </c>
      <c r="I1155" s="102">
        <f>1790.14</f>
        <v>1790.14</v>
      </c>
      <c r="J1155" s="98"/>
      <c r="K1155" s="14"/>
      <c r="L1155" s="14"/>
      <c r="M1155" s="14"/>
    </row>
    <row r="1156" spans="1:13" ht="60" x14ac:dyDescent="0.25">
      <c r="A1156" s="116" t="s">
        <v>1267</v>
      </c>
      <c r="B1156" s="123"/>
      <c r="C1156" s="116" t="s">
        <v>1244</v>
      </c>
      <c r="D1156" s="107" t="s">
        <v>1951</v>
      </c>
      <c r="E1156" s="107" t="s">
        <v>1266</v>
      </c>
      <c r="F1156" s="107" t="s">
        <v>426</v>
      </c>
      <c r="G1156" s="19">
        <v>201</v>
      </c>
      <c r="H1156" s="19">
        <v>72</v>
      </c>
      <c r="I1156" s="73">
        <v>69</v>
      </c>
      <c r="J1156" s="98"/>
      <c r="K1156" s="14"/>
      <c r="L1156" s="14"/>
      <c r="M1156" s="14"/>
    </row>
    <row r="1157" spans="1:13" ht="46.5" customHeight="1" x14ac:dyDescent="0.25">
      <c r="A1157" s="118"/>
      <c r="B1157" s="123"/>
      <c r="C1157" s="118"/>
      <c r="D1157" s="107" t="s">
        <v>1236</v>
      </c>
      <c r="E1157" s="116" t="s">
        <v>16</v>
      </c>
      <c r="F1157" s="116" t="s">
        <v>6</v>
      </c>
      <c r="G1157" s="51">
        <f>1770.01</f>
        <v>1770.01</v>
      </c>
      <c r="H1157" s="51">
        <v>1621.77</v>
      </c>
      <c r="I1157" s="78">
        <f>1764.21</f>
        <v>1764.21</v>
      </c>
      <c r="J1157" s="98"/>
      <c r="K1157" s="14"/>
      <c r="L1157" s="14"/>
      <c r="M1157" s="14"/>
    </row>
    <row r="1158" spans="1:13" ht="16.5" customHeight="1" x14ac:dyDescent="0.25">
      <c r="A1158" s="117"/>
      <c r="B1158" s="123"/>
      <c r="C1158" s="117"/>
      <c r="D1158" s="107" t="s">
        <v>306</v>
      </c>
      <c r="E1158" s="117"/>
      <c r="F1158" s="117"/>
      <c r="G1158" s="20">
        <f>402.83</f>
        <v>402.83</v>
      </c>
      <c r="H1158" s="20">
        <v>393.75</v>
      </c>
      <c r="I1158" s="76">
        <f>565.3</f>
        <v>565.29999999999995</v>
      </c>
      <c r="J1158" s="98"/>
      <c r="K1158" s="14"/>
      <c r="L1158" s="14"/>
      <c r="M1158" s="14"/>
    </row>
    <row r="1159" spans="1:13" ht="105" x14ac:dyDescent="0.25">
      <c r="A1159" s="116" t="s">
        <v>1271</v>
      </c>
      <c r="B1159" s="123"/>
      <c r="C1159" s="125" t="s">
        <v>1268</v>
      </c>
      <c r="D1159" s="107" t="s">
        <v>1952</v>
      </c>
      <c r="E1159" s="107" t="s">
        <v>1269</v>
      </c>
      <c r="F1159" s="107" t="s">
        <v>80</v>
      </c>
      <c r="G1159" s="19">
        <v>4700</v>
      </c>
      <c r="H1159" s="19">
        <v>3800</v>
      </c>
      <c r="I1159" s="73">
        <v>3969</v>
      </c>
      <c r="J1159" s="98"/>
      <c r="K1159" s="14"/>
      <c r="L1159" s="14"/>
      <c r="M1159" s="14"/>
    </row>
    <row r="1160" spans="1:13" ht="60.75" customHeight="1" x14ac:dyDescent="0.25">
      <c r="A1160" s="118"/>
      <c r="B1160" s="123"/>
      <c r="C1160" s="126"/>
      <c r="D1160" s="116" t="s">
        <v>1270</v>
      </c>
      <c r="E1160" s="116" t="s">
        <v>16</v>
      </c>
      <c r="F1160" s="116" t="s">
        <v>68</v>
      </c>
      <c r="G1160" s="173">
        <f>13603.3</f>
        <v>13603.3</v>
      </c>
      <c r="H1160" s="166">
        <v>13668.4</v>
      </c>
      <c r="I1160" s="170">
        <f>14922.87</f>
        <v>14922.87</v>
      </c>
      <c r="J1160" s="98"/>
      <c r="K1160" s="14"/>
      <c r="L1160" s="14"/>
      <c r="M1160" s="14"/>
    </row>
    <row r="1161" spans="1:13" ht="270.75" hidden="1" customHeight="1" x14ac:dyDescent="0.25">
      <c r="A1161" s="118"/>
      <c r="B1161" s="123"/>
      <c r="C1161" s="126"/>
      <c r="D1161" s="117"/>
      <c r="E1161" s="118"/>
      <c r="F1161" s="117"/>
      <c r="G1161" s="174"/>
      <c r="H1161" s="167"/>
      <c r="I1161" s="171"/>
      <c r="J1161" s="98"/>
      <c r="K1161" s="14"/>
      <c r="L1161" s="14"/>
      <c r="M1161" s="14"/>
    </row>
    <row r="1162" spans="1:13" ht="60" x14ac:dyDescent="0.25">
      <c r="A1162" s="116" t="s">
        <v>1275</v>
      </c>
      <c r="B1162" s="123"/>
      <c r="C1162" s="125" t="s">
        <v>1268</v>
      </c>
      <c r="D1162" s="116" t="s">
        <v>1953</v>
      </c>
      <c r="E1162" s="99" t="s">
        <v>1272</v>
      </c>
      <c r="F1162" s="99" t="s">
        <v>85</v>
      </c>
      <c r="G1162" s="112">
        <v>1125</v>
      </c>
      <c r="H1162" s="112">
        <v>995</v>
      </c>
      <c r="I1162" s="92">
        <v>1032</v>
      </c>
      <c r="J1162" s="98"/>
      <c r="K1162" s="14"/>
      <c r="L1162" s="14"/>
      <c r="M1162" s="14"/>
    </row>
    <row r="1163" spans="1:13" ht="64.5" customHeight="1" x14ac:dyDescent="0.25">
      <c r="A1163" s="118"/>
      <c r="B1163" s="123"/>
      <c r="C1163" s="126"/>
      <c r="D1163" s="117"/>
      <c r="E1163" s="99" t="s">
        <v>1273</v>
      </c>
      <c r="F1163" s="99" t="s">
        <v>85</v>
      </c>
      <c r="G1163" s="112">
        <v>1600</v>
      </c>
      <c r="H1163" s="112">
        <v>1600</v>
      </c>
      <c r="I1163" s="92">
        <v>1600</v>
      </c>
      <c r="J1163" s="98"/>
      <c r="K1163" s="14"/>
      <c r="L1163" s="14"/>
      <c r="M1163" s="14"/>
    </row>
    <row r="1164" spans="1:13" ht="45.75" customHeight="1" x14ac:dyDescent="0.25">
      <c r="A1164" s="118"/>
      <c r="B1164" s="123"/>
      <c r="C1164" s="126"/>
      <c r="D1164" s="99" t="s">
        <v>1274</v>
      </c>
      <c r="E1164" s="116" t="s">
        <v>16</v>
      </c>
      <c r="F1164" s="116" t="s">
        <v>6</v>
      </c>
      <c r="G1164" s="51">
        <v>41786.9</v>
      </c>
      <c r="H1164" s="64">
        <v>46666.7</v>
      </c>
      <c r="I1164" s="93">
        <v>46666.7</v>
      </c>
      <c r="J1164" s="98"/>
      <c r="K1164" s="14"/>
      <c r="L1164" s="14"/>
      <c r="M1164" s="14"/>
    </row>
    <row r="1165" spans="1:13" x14ac:dyDescent="0.25">
      <c r="A1165" s="118"/>
      <c r="B1165" s="123"/>
      <c r="C1165" s="126"/>
      <c r="D1165" s="99" t="s">
        <v>346</v>
      </c>
      <c r="E1165" s="118"/>
      <c r="F1165" s="118"/>
      <c r="G1165" s="20">
        <v>12619.7</v>
      </c>
      <c r="H1165" s="103">
        <v>14473.9</v>
      </c>
      <c r="I1165" s="102">
        <v>14064.8</v>
      </c>
      <c r="J1165" s="98"/>
      <c r="K1165" s="14"/>
      <c r="L1165" s="14"/>
      <c r="M1165" s="14"/>
    </row>
    <row r="1166" spans="1:13" x14ac:dyDescent="0.25">
      <c r="A1166" s="118"/>
      <c r="B1166" s="123"/>
      <c r="C1166" s="126"/>
      <c r="D1166" s="99" t="s">
        <v>347</v>
      </c>
      <c r="E1166" s="118"/>
      <c r="F1166" s="118"/>
      <c r="G1166" s="20">
        <v>500</v>
      </c>
      <c r="H1166" s="103">
        <v>115</v>
      </c>
      <c r="I1166" s="102">
        <v>75.099999999999994</v>
      </c>
      <c r="J1166" s="98"/>
      <c r="K1166" s="14"/>
      <c r="L1166" s="14"/>
      <c r="M1166" s="14"/>
    </row>
    <row r="1167" spans="1:13" x14ac:dyDescent="0.25">
      <c r="A1167" s="118"/>
      <c r="B1167" s="123"/>
      <c r="C1167" s="126"/>
      <c r="D1167" s="99" t="s">
        <v>348</v>
      </c>
      <c r="E1167" s="118"/>
      <c r="F1167" s="118"/>
      <c r="G1167" s="20">
        <v>1816.2</v>
      </c>
      <c r="H1167" s="103">
        <v>1721.4</v>
      </c>
      <c r="I1167" s="102">
        <v>1721.4</v>
      </c>
      <c r="J1167" s="98"/>
      <c r="K1167" s="14"/>
      <c r="L1167" s="14"/>
      <c r="M1167" s="14"/>
    </row>
    <row r="1168" spans="1:13" x14ac:dyDescent="0.25">
      <c r="A1168" s="118"/>
      <c r="B1168" s="123"/>
      <c r="C1168" s="126"/>
      <c r="D1168" s="99" t="s">
        <v>349</v>
      </c>
      <c r="E1168" s="118"/>
      <c r="F1168" s="118"/>
      <c r="G1168" s="20">
        <v>62800.6</v>
      </c>
      <c r="H1168" s="103">
        <v>47030.38</v>
      </c>
      <c r="I1168" s="102">
        <v>43186.5</v>
      </c>
      <c r="J1168" s="98"/>
      <c r="K1168" s="14"/>
      <c r="L1168" s="14"/>
      <c r="M1168" s="14"/>
    </row>
    <row r="1169" spans="1:13" x14ac:dyDescent="0.25">
      <c r="A1169" s="118"/>
      <c r="B1169" s="123"/>
      <c r="C1169" s="126"/>
      <c r="D1169" s="99" t="s">
        <v>350</v>
      </c>
      <c r="E1169" s="118"/>
      <c r="F1169" s="118"/>
      <c r="G1169" s="20">
        <v>360</v>
      </c>
      <c r="H1169" s="103">
        <v>0</v>
      </c>
      <c r="I1169" s="102">
        <v>0</v>
      </c>
      <c r="J1169" s="98"/>
      <c r="K1169" s="14"/>
      <c r="L1169" s="14"/>
      <c r="M1169" s="14"/>
    </row>
    <row r="1170" spans="1:13" x14ac:dyDescent="0.25">
      <c r="A1170" s="118"/>
      <c r="B1170" s="123"/>
      <c r="C1170" s="126"/>
      <c r="D1170" s="99" t="s">
        <v>351</v>
      </c>
      <c r="E1170" s="118"/>
      <c r="F1170" s="118"/>
      <c r="G1170" s="20">
        <v>85</v>
      </c>
      <c r="H1170" s="103">
        <v>29.7</v>
      </c>
      <c r="I1170" s="102">
        <v>29.7</v>
      </c>
      <c r="J1170" s="98"/>
      <c r="K1170" s="14"/>
      <c r="L1170" s="14"/>
      <c r="M1170" s="14"/>
    </row>
    <row r="1171" spans="1:13" x14ac:dyDescent="0.25">
      <c r="A1171" s="118"/>
      <c r="B1171" s="123"/>
      <c r="C1171" s="126"/>
      <c r="D1171" s="99" t="s">
        <v>352</v>
      </c>
      <c r="E1171" s="118"/>
      <c r="F1171" s="118"/>
      <c r="G1171" s="20">
        <v>0</v>
      </c>
      <c r="H1171" s="103">
        <v>158.69999999999999</v>
      </c>
      <c r="I1171" s="102">
        <v>158.69999999999999</v>
      </c>
      <c r="J1171" s="98"/>
      <c r="K1171" s="14"/>
      <c r="L1171" s="14"/>
      <c r="M1171" s="14"/>
    </row>
    <row r="1172" spans="1:13" x14ac:dyDescent="0.25">
      <c r="A1172" s="118"/>
      <c r="B1172" s="123"/>
      <c r="C1172" s="126"/>
      <c r="D1172" s="99" t="s">
        <v>353</v>
      </c>
      <c r="E1172" s="118"/>
      <c r="F1172" s="118"/>
      <c r="G1172" s="20">
        <v>254000</v>
      </c>
      <c r="H1172" s="103">
        <v>254000</v>
      </c>
      <c r="I1172" s="102">
        <v>254000</v>
      </c>
      <c r="J1172" s="98"/>
      <c r="K1172" s="14"/>
      <c r="L1172" s="14"/>
      <c r="M1172" s="14"/>
    </row>
    <row r="1173" spans="1:13" x14ac:dyDescent="0.25">
      <c r="A1173" s="118"/>
      <c r="B1173" s="123"/>
      <c r="C1173" s="126"/>
      <c r="D1173" s="99" t="s">
        <v>354</v>
      </c>
      <c r="E1173" s="118"/>
      <c r="F1173" s="118"/>
      <c r="G1173" s="20">
        <v>2983.9</v>
      </c>
      <c r="H1173" s="103">
        <v>11257.82</v>
      </c>
      <c r="I1173" s="102">
        <v>11257.9</v>
      </c>
      <c r="J1173" s="98"/>
      <c r="K1173" s="14"/>
      <c r="L1173" s="14"/>
      <c r="M1173" s="14"/>
    </row>
    <row r="1174" spans="1:13" x14ac:dyDescent="0.25">
      <c r="A1174" s="118"/>
      <c r="B1174" s="123"/>
      <c r="C1174" s="126"/>
      <c r="D1174" s="99" t="s">
        <v>355</v>
      </c>
      <c r="E1174" s="118"/>
      <c r="F1174" s="118"/>
      <c r="G1174" s="20">
        <v>30.1</v>
      </c>
      <c r="H1174" s="103">
        <v>30.1</v>
      </c>
      <c r="I1174" s="102">
        <v>30.1</v>
      </c>
      <c r="J1174" s="98"/>
      <c r="K1174" s="14"/>
      <c r="L1174" s="14"/>
      <c r="M1174" s="14"/>
    </row>
    <row r="1175" spans="1:13" x14ac:dyDescent="0.25">
      <c r="A1175" s="118"/>
      <c r="B1175" s="123"/>
      <c r="C1175" s="126"/>
      <c r="D1175" s="99" t="s">
        <v>356</v>
      </c>
      <c r="E1175" s="118"/>
      <c r="F1175" s="118"/>
      <c r="G1175" s="20">
        <v>0</v>
      </c>
      <c r="H1175" s="103">
        <v>6187.5</v>
      </c>
      <c r="I1175" s="102">
        <v>6187.5</v>
      </c>
      <c r="J1175" s="98"/>
      <c r="K1175" s="14"/>
      <c r="L1175" s="14"/>
      <c r="M1175" s="14"/>
    </row>
    <row r="1176" spans="1:13" x14ac:dyDescent="0.25">
      <c r="A1176" s="118"/>
      <c r="B1176" s="123"/>
      <c r="C1176" s="126"/>
      <c r="D1176" s="99" t="s">
        <v>357</v>
      </c>
      <c r="E1176" s="118"/>
      <c r="F1176" s="118"/>
      <c r="G1176" s="20">
        <v>0</v>
      </c>
      <c r="H1176" s="103">
        <v>925</v>
      </c>
      <c r="I1176" s="102">
        <v>925</v>
      </c>
      <c r="J1176" s="98"/>
      <c r="K1176" s="14"/>
      <c r="L1176" s="14"/>
      <c r="M1176" s="14"/>
    </row>
    <row r="1177" spans="1:13" x14ac:dyDescent="0.25">
      <c r="A1177" s="118"/>
      <c r="B1177" s="123"/>
      <c r="C1177" s="126"/>
      <c r="D1177" s="99" t="s">
        <v>358</v>
      </c>
      <c r="E1177" s="118"/>
      <c r="F1177" s="118"/>
      <c r="G1177" s="20">
        <v>0</v>
      </c>
      <c r="H1177" s="103">
        <v>568</v>
      </c>
      <c r="I1177" s="102">
        <v>568</v>
      </c>
      <c r="J1177" s="98"/>
      <c r="K1177" s="14"/>
      <c r="L1177" s="14"/>
      <c r="M1177" s="14"/>
    </row>
    <row r="1178" spans="1:13" x14ac:dyDescent="0.25">
      <c r="A1178" s="118"/>
      <c r="B1178" s="123"/>
      <c r="C1178" s="126"/>
      <c r="D1178" s="99" t="s">
        <v>359</v>
      </c>
      <c r="E1178" s="118"/>
      <c r="F1178" s="118"/>
      <c r="G1178" s="20">
        <v>0</v>
      </c>
      <c r="H1178" s="103">
        <v>1868.6</v>
      </c>
      <c r="I1178" s="102">
        <v>1868.6</v>
      </c>
      <c r="J1178" s="98"/>
      <c r="K1178" s="14"/>
      <c r="L1178" s="14"/>
      <c r="M1178" s="14"/>
    </row>
    <row r="1179" spans="1:13" x14ac:dyDescent="0.25">
      <c r="A1179" s="118"/>
      <c r="B1179" s="123"/>
      <c r="C1179" s="126"/>
      <c r="D1179" s="99" t="s">
        <v>360</v>
      </c>
      <c r="E1179" s="118"/>
      <c r="F1179" s="118"/>
      <c r="G1179" s="20">
        <v>0</v>
      </c>
      <c r="H1179" s="103">
        <v>279.33</v>
      </c>
      <c r="I1179" s="102">
        <v>279.3</v>
      </c>
      <c r="J1179" s="98"/>
      <c r="K1179" s="14"/>
      <c r="L1179" s="14"/>
      <c r="M1179" s="14"/>
    </row>
    <row r="1180" spans="1:13" x14ac:dyDescent="0.25">
      <c r="A1180" s="118"/>
      <c r="B1180" s="123"/>
      <c r="C1180" s="126"/>
      <c r="D1180" s="99" t="s">
        <v>361</v>
      </c>
      <c r="E1180" s="118"/>
      <c r="F1180" s="118"/>
      <c r="G1180" s="20">
        <v>0</v>
      </c>
      <c r="H1180" s="103">
        <v>171.2</v>
      </c>
      <c r="I1180" s="102">
        <v>171.2</v>
      </c>
      <c r="J1180" s="98"/>
      <c r="K1180" s="14"/>
      <c r="L1180" s="14"/>
      <c r="M1180" s="14"/>
    </row>
    <row r="1181" spans="1:13" x14ac:dyDescent="0.25">
      <c r="A1181" s="118"/>
      <c r="B1181" s="123"/>
      <c r="C1181" s="126"/>
      <c r="D1181" s="99" t="s">
        <v>362</v>
      </c>
      <c r="E1181" s="118"/>
      <c r="F1181" s="118"/>
      <c r="G1181" s="20">
        <v>0</v>
      </c>
      <c r="H1181" s="103">
        <v>997.2</v>
      </c>
      <c r="I1181" s="102">
        <v>996.6</v>
      </c>
      <c r="J1181" s="98"/>
      <c r="K1181" s="14"/>
      <c r="L1181" s="14"/>
      <c r="M1181" s="14"/>
    </row>
    <row r="1182" spans="1:13" x14ac:dyDescent="0.25">
      <c r="A1182" s="118"/>
      <c r="B1182" s="123"/>
      <c r="C1182" s="126"/>
      <c r="D1182" s="99" t="s">
        <v>363</v>
      </c>
      <c r="E1182" s="118"/>
      <c r="F1182" s="118"/>
      <c r="G1182" s="20">
        <v>0</v>
      </c>
      <c r="H1182" s="103">
        <v>92.3</v>
      </c>
      <c r="I1182" s="102">
        <v>52.6</v>
      </c>
      <c r="J1182" s="98"/>
      <c r="K1182" s="14"/>
      <c r="L1182" s="14"/>
      <c r="M1182" s="14"/>
    </row>
    <row r="1183" spans="1:13" x14ac:dyDescent="0.25">
      <c r="A1183" s="118"/>
      <c r="B1183" s="123"/>
      <c r="C1183" s="126"/>
      <c r="D1183" s="99" t="s">
        <v>364</v>
      </c>
      <c r="E1183" s="118"/>
      <c r="F1183" s="118"/>
      <c r="G1183" s="20">
        <v>0</v>
      </c>
      <c r="H1183" s="103">
        <v>27.9</v>
      </c>
      <c r="I1183" s="102">
        <v>15.9</v>
      </c>
      <c r="J1183" s="98"/>
      <c r="K1183" s="14"/>
      <c r="L1183" s="14"/>
      <c r="M1183" s="14"/>
    </row>
    <row r="1184" spans="1:13" x14ac:dyDescent="0.25">
      <c r="A1184" s="118"/>
      <c r="B1184" s="123"/>
      <c r="C1184" s="126"/>
      <c r="D1184" s="99" t="s">
        <v>365</v>
      </c>
      <c r="E1184" s="118"/>
      <c r="F1184" s="118"/>
      <c r="G1184" s="20">
        <v>0</v>
      </c>
      <c r="H1184" s="103">
        <v>825</v>
      </c>
      <c r="I1184" s="102">
        <v>825</v>
      </c>
      <c r="J1184" s="98"/>
      <c r="K1184" s="14"/>
      <c r="L1184" s="14"/>
      <c r="M1184" s="14"/>
    </row>
    <row r="1185" spans="1:13" x14ac:dyDescent="0.25">
      <c r="A1185" s="118"/>
      <c r="B1185" s="123"/>
      <c r="C1185" s="126"/>
      <c r="D1185" s="99" t="s">
        <v>366</v>
      </c>
      <c r="E1185" s="118"/>
      <c r="F1185" s="118"/>
      <c r="G1185" s="20">
        <v>0</v>
      </c>
      <c r="H1185" s="103">
        <v>249.2</v>
      </c>
      <c r="I1185" s="102">
        <v>249.2</v>
      </c>
      <c r="J1185" s="98"/>
      <c r="K1185" s="14"/>
      <c r="L1185" s="14"/>
      <c r="M1185" s="14"/>
    </row>
    <row r="1186" spans="1:13" x14ac:dyDescent="0.25">
      <c r="A1186" s="118"/>
      <c r="B1186" s="123"/>
      <c r="C1186" s="126"/>
      <c r="D1186" s="5" t="s">
        <v>367</v>
      </c>
      <c r="E1186" s="118"/>
      <c r="F1186" s="118"/>
      <c r="G1186" s="20">
        <f>19925.1</f>
        <v>19925.099999999999</v>
      </c>
      <c r="H1186" s="106">
        <v>23996.7</v>
      </c>
      <c r="I1186" s="95">
        <f>35054</f>
        <v>35054</v>
      </c>
      <c r="J1186" s="98"/>
      <c r="K1186" s="14"/>
      <c r="L1186" s="14"/>
      <c r="M1186" s="14"/>
    </row>
    <row r="1187" spans="1:13" x14ac:dyDescent="0.25">
      <c r="A1187" s="117"/>
      <c r="B1187" s="123"/>
      <c r="C1187" s="127"/>
      <c r="D1187" s="5" t="s">
        <v>368</v>
      </c>
      <c r="E1187" s="117"/>
      <c r="F1187" s="117"/>
      <c r="G1187" s="27">
        <f>6187.9</f>
        <v>6187.9</v>
      </c>
      <c r="H1187" s="20">
        <f>3646.21</f>
        <v>3646.21</v>
      </c>
      <c r="I1187" s="76">
        <f>3646.21</f>
        <v>3646.21</v>
      </c>
      <c r="J1187" s="98"/>
      <c r="K1187" s="14"/>
      <c r="L1187" s="14"/>
      <c r="M1187" s="14"/>
    </row>
    <row r="1188" spans="1:13" ht="60" x14ac:dyDescent="0.25">
      <c r="A1188" s="116" t="s">
        <v>1276</v>
      </c>
      <c r="B1188" s="123"/>
      <c r="C1188" s="116" t="s">
        <v>1277</v>
      </c>
      <c r="D1188" s="107" t="s">
        <v>1954</v>
      </c>
      <c r="E1188" s="107" t="s">
        <v>1278</v>
      </c>
      <c r="F1188" s="107" t="s">
        <v>426</v>
      </c>
      <c r="G1188" s="19">
        <v>23200</v>
      </c>
      <c r="H1188" s="19">
        <v>17718</v>
      </c>
      <c r="I1188" s="73">
        <v>16289</v>
      </c>
      <c r="J1188" s="98"/>
      <c r="K1188" s="14"/>
      <c r="L1188" s="14"/>
      <c r="M1188" s="14"/>
    </row>
    <row r="1189" spans="1:13" ht="60" customHeight="1" x14ac:dyDescent="0.25">
      <c r="A1189" s="117"/>
      <c r="B1189" s="123"/>
      <c r="C1189" s="117"/>
      <c r="D1189" s="107" t="s">
        <v>1279</v>
      </c>
      <c r="E1189" s="99" t="s">
        <v>16</v>
      </c>
      <c r="F1189" s="99" t="s">
        <v>6</v>
      </c>
      <c r="G1189" s="20">
        <f>19599.27+1808.2+13894.43</f>
        <v>35301.9</v>
      </c>
      <c r="H1189" s="20">
        <v>37711.4</v>
      </c>
      <c r="I1189" s="76">
        <f>19488.78+2223.1+16870.92</f>
        <v>38582.799999999996</v>
      </c>
      <c r="J1189" s="98"/>
      <c r="K1189" s="14"/>
      <c r="L1189" s="14"/>
      <c r="M1189" s="14"/>
    </row>
    <row r="1190" spans="1:13" ht="60" x14ac:dyDescent="0.25">
      <c r="A1190" s="116" t="s">
        <v>1281</v>
      </c>
      <c r="B1190" s="123"/>
      <c r="C1190" s="116" t="s">
        <v>827</v>
      </c>
      <c r="D1190" s="107" t="s">
        <v>1955</v>
      </c>
      <c r="E1190" s="107" t="s">
        <v>828</v>
      </c>
      <c r="F1190" s="107" t="s">
        <v>426</v>
      </c>
      <c r="G1190" s="19">
        <v>329868</v>
      </c>
      <c r="H1190" s="19">
        <v>430293</v>
      </c>
      <c r="I1190" s="73">
        <v>430293</v>
      </c>
      <c r="J1190" s="98"/>
      <c r="K1190" s="14"/>
      <c r="L1190" s="14"/>
      <c r="M1190" s="14"/>
    </row>
    <row r="1191" spans="1:13" ht="45" customHeight="1" x14ac:dyDescent="0.25">
      <c r="A1191" s="118"/>
      <c r="B1191" s="123"/>
      <c r="C1191" s="118"/>
      <c r="D1191" s="116" t="s">
        <v>1280</v>
      </c>
      <c r="E1191" s="116" t="s">
        <v>16</v>
      </c>
      <c r="F1191" s="116" t="s">
        <v>6</v>
      </c>
      <c r="G1191" s="166">
        <v>26119.1</v>
      </c>
      <c r="H1191" s="166">
        <v>27520</v>
      </c>
      <c r="I1191" s="170">
        <v>27200.43</v>
      </c>
      <c r="J1191" s="98"/>
      <c r="K1191" s="14"/>
      <c r="L1191" s="14"/>
      <c r="M1191" s="14"/>
    </row>
    <row r="1192" spans="1:13" x14ac:dyDescent="0.25">
      <c r="A1192" s="117"/>
      <c r="B1192" s="123"/>
      <c r="C1192" s="117"/>
      <c r="D1192" s="117"/>
      <c r="E1192" s="117"/>
      <c r="F1192" s="117"/>
      <c r="G1192" s="167"/>
      <c r="H1192" s="167"/>
      <c r="I1192" s="171"/>
      <c r="J1192" s="98"/>
      <c r="K1192" s="14"/>
      <c r="L1192" s="14"/>
      <c r="M1192" s="14"/>
    </row>
    <row r="1193" spans="1:13" ht="120" x14ac:dyDescent="0.25">
      <c r="A1193" s="116" t="s">
        <v>1284</v>
      </c>
      <c r="B1193" s="123"/>
      <c r="C1193" s="125" t="s">
        <v>125</v>
      </c>
      <c r="D1193" s="107" t="s">
        <v>1956</v>
      </c>
      <c r="E1193" s="107" t="s">
        <v>1282</v>
      </c>
      <c r="F1193" s="107" t="s">
        <v>426</v>
      </c>
      <c r="G1193" s="19">
        <v>24</v>
      </c>
      <c r="H1193" s="19">
        <v>11</v>
      </c>
      <c r="I1193" s="73">
        <v>11</v>
      </c>
      <c r="J1193" s="98"/>
      <c r="K1193" s="14"/>
      <c r="L1193" s="14"/>
      <c r="M1193" s="14"/>
    </row>
    <row r="1194" spans="1:13" ht="45" customHeight="1" x14ac:dyDescent="0.25">
      <c r="A1194" s="118"/>
      <c r="B1194" s="123"/>
      <c r="C1194" s="126"/>
      <c r="D1194" s="116" t="s">
        <v>1283</v>
      </c>
      <c r="E1194" s="116" t="s">
        <v>16</v>
      </c>
      <c r="F1194" s="116" t="s">
        <v>6</v>
      </c>
      <c r="G1194" s="166">
        <v>1482.97</v>
      </c>
      <c r="H1194" s="166">
        <v>1549</v>
      </c>
      <c r="I1194" s="170">
        <v>1548.96</v>
      </c>
      <c r="J1194" s="98"/>
      <c r="K1194" s="14"/>
      <c r="L1194" s="14"/>
      <c r="M1194" s="14"/>
    </row>
    <row r="1195" spans="1:13" ht="14.25" customHeight="1" x14ac:dyDescent="0.25">
      <c r="A1195" s="117"/>
      <c r="B1195" s="123"/>
      <c r="C1195" s="127"/>
      <c r="D1195" s="117"/>
      <c r="E1195" s="117"/>
      <c r="F1195" s="117"/>
      <c r="G1195" s="167"/>
      <c r="H1195" s="167"/>
      <c r="I1195" s="171"/>
      <c r="J1195" s="98"/>
      <c r="K1195" s="14"/>
      <c r="L1195" s="14"/>
      <c r="M1195" s="14"/>
    </row>
    <row r="1196" spans="1:13" ht="105" x14ac:dyDescent="0.25">
      <c r="A1196" s="116" t="s">
        <v>1286</v>
      </c>
      <c r="B1196" s="123"/>
      <c r="C1196" s="125" t="s">
        <v>125</v>
      </c>
      <c r="D1196" s="107" t="s">
        <v>1957</v>
      </c>
      <c r="E1196" s="107" t="s">
        <v>1285</v>
      </c>
      <c r="F1196" s="107" t="s">
        <v>426</v>
      </c>
      <c r="G1196" s="19">
        <v>75</v>
      </c>
      <c r="H1196" s="19">
        <v>69</v>
      </c>
      <c r="I1196" s="73">
        <v>69</v>
      </c>
      <c r="J1196" s="98"/>
      <c r="K1196" s="14"/>
      <c r="L1196" s="14"/>
      <c r="M1196" s="14"/>
    </row>
    <row r="1197" spans="1:13" ht="34.5" customHeight="1" x14ac:dyDescent="0.25">
      <c r="A1197" s="118"/>
      <c r="B1197" s="123"/>
      <c r="C1197" s="126"/>
      <c r="D1197" s="116" t="s">
        <v>1280</v>
      </c>
      <c r="E1197" s="116" t="s">
        <v>16</v>
      </c>
      <c r="F1197" s="116" t="s">
        <v>6</v>
      </c>
      <c r="G1197" s="166">
        <f>2702.3+14502.65</f>
        <v>17204.95</v>
      </c>
      <c r="H1197" s="166">
        <f>1489.9+15191.5</f>
        <v>16681.400000000001</v>
      </c>
      <c r="I1197" s="170">
        <f>1589.9+15151.64</f>
        <v>16741.54</v>
      </c>
      <c r="J1197" s="98"/>
      <c r="K1197" s="14"/>
      <c r="L1197" s="14"/>
      <c r="M1197" s="14"/>
    </row>
    <row r="1198" spans="1:13" ht="33.75" customHeight="1" x14ac:dyDescent="0.25">
      <c r="A1198" s="117"/>
      <c r="B1198" s="123"/>
      <c r="C1198" s="127"/>
      <c r="D1198" s="117"/>
      <c r="E1198" s="117"/>
      <c r="F1198" s="117"/>
      <c r="G1198" s="167"/>
      <c r="H1198" s="167"/>
      <c r="I1198" s="171"/>
      <c r="J1198" s="98"/>
      <c r="K1198" s="14"/>
      <c r="L1198" s="14"/>
      <c r="M1198" s="14"/>
    </row>
    <row r="1199" spans="1:13" ht="60" x14ac:dyDescent="0.25">
      <c r="A1199" s="116" t="s">
        <v>1288</v>
      </c>
      <c r="B1199" s="123"/>
      <c r="C1199" s="116" t="s">
        <v>125</v>
      </c>
      <c r="D1199" s="107" t="s">
        <v>1958</v>
      </c>
      <c r="E1199" s="107" t="s">
        <v>1289</v>
      </c>
      <c r="F1199" s="107" t="s">
        <v>426</v>
      </c>
      <c r="G1199" s="19">
        <v>36</v>
      </c>
      <c r="H1199" s="19">
        <v>25</v>
      </c>
      <c r="I1199" s="73">
        <v>25</v>
      </c>
      <c r="J1199" s="98"/>
      <c r="K1199" s="14"/>
      <c r="L1199" s="14"/>
      <c r="M1199" s="14"/>
    </row>
    <row r="1200" spans="1:13" ht="60" x14ac:dyDescent="0.25">
      <c r="A1200" s="117"/>
      <c r="B1200" s="123"/>
      <c r="C1200" s="117"/>
      <c r="D1200" s="107" t="s">
        <v>1287</v>
      </c>
      <c r="E1200" s="99" t="s">
        <v>16</v>
      </c>
      <c r="F1200" s="107" t="s">
        <v>6</v>
      </c>
      <c r="G1200" s="20">
        <v>4014.08</v>
      </c>
      <c r="H1200" s="20">
        <v>4060.1</v>
      </c>
      <c r="I1200" s="76">
        <v>4193.58</v>
      </c>
      <c r="J1200" s="98"/>
      <c r="K1200" s="14"/>
      <c r="L1200" s="14"/>
      <c r="M1200" s="14"/>
    </row>
    <row r="1201" spans="1:13" ht="90" x14ac:dyDescent="0.25">
      <c r="A1201" s="116" t="s">
        <v>1291</v>
      </c>
      <c r="B1201" s="123"/>
      <c r="C1201" s="116" t="s">
        <v>125</v>
      </c>
      <c r="D1201" s="107" t="s">
        <v>1959</v>
      </c>
      <c r="E1201" s="107" t="s">
        <v>1290</v>
      </c>
      <c r="F1201" s="107" t="s">
        <v>426</v>
      </c>
      <c r="G1201" s="19">
        <v>302</v>
      </c>
      <c r="H1201" s="19">
        <v>344</v>
      </c>
      <c r="I1201" s="73">
        <v>337</v>
      </c>
      <c r="J1201" s="98"/>
      <c r="K1201" s="14"/>
      <c r="L1201" s="14"/>
      <c r="M1201" s="14"/>
    </row>
    <row r="1202" spans="1:13" ht="23.25" customHeight="1" x14ac:dyDescent="0.25">
      <c r="A1202" s="118"/>
      <c r="B1202" s="123"/>
      <c r="C1202" s="118"/>
      <c r="D1202" s="116" t="s">
        <v>1283</v>
      </c>
      <c r="E1202" s="116" t="s">
        <v>16</v>
      </c>
      <c r="F1202" s="116" t="s">
        <v>68</v>
      </c>
      <c r="G1202" s="166">
        <f>1217.42+6444.11+21799.85</f>
        <v>29461.379999999997</v>
      </c>
      <c r="H1202" s="166">
        <f>1231.87+6616.32+22135.9</f>
        <v>29984.09</v>
      </c>
      <c r="I1202" s="170">
        <f>1199.2+6606.62+22775.5</f>
        <v>30581.32</v>
      </c>
      <c r="J1202" s="98"/>
      <c r="K1202" s="14"/>
      <c r="L1202" s="14"/>
      <c r="M1202" s="14"/>
    </row>
    <row r="1203" spans="1:13" ht="40.5" customHeight="1" x14ac:dyDescent="0.25">
      <c r="A1203" s="117"/>
      <c r="B1203" s="123"/>
      <c r="C1203" s="117"/>
      <c r="D1203" s="117"/>
      <c r="E1203" s="117"/>
      <c r="F1203" s="117"/>
      <c r="G1203" s="167"/>
      <c r="H1203" s="167"/>
      <c r="I1203" s="171"/>
      <c r="J1203" s="98"/>
      <c r="K1203" s="14"/>
      <c r="L1203" s="14"/>
      <c r="M1203" s="14"/>
    </row>
    <row r="1204" spans="1:13" ht="90" x14ac:dyDescent="0.25">
      <c r="A1204" s="116" t="s">
        <v>1293</v>
      </c>
      <c r="B1204" s="123"/>
      <c r="C1204" s="116" t="s">
        <v>125</v>
      </c>
      <c r="D1204" s="107" t="s">
        <v>1960</v>
      </c>
      <c r="E1204" s="107" t="s">
        <v>1292</v>
      </c>
      <c r="F1204" s="107" t="s">
        <v>426</v>
      </c>
      <c r="G1204" s="19">
        <v>16</v>
      </c>
      <c r="H1204" s="19">
        <v>38</v>
      </c>
      <c r="I1204" s="73">
        <v>38</v>
      </c>
      <c r="J1204" s="98"/>
      <c r="K1204" s="14"/>
      <c r="L1204" s="14"/>
      <c r="M1204" s="14"/>
    </row>
    <row r="1205" spans="1:13" ht="45" customHeight="1" x14ac:dyDescent="0.25">
      <c r="A1205" s="118"/>
      <c r="B1205" s="123"/>
      <c r="C1205" s="118"/>
      <c r="D1205" s="116" t="s">
        <v>1280</v>
      </c>
      <c r="E1205" s="116" t="s">
        <v>16</v>
      </c>
      <c r="F1205" s="116" t="s">
        <v>6</v>
      </c>
      <c r="G1205" s="166">
        <v>3542.19</v>
      </c>
      <c r="H1205" s="166">
        <v>3759.3</v>
      </c>
      <c r="I1205" s="170">
        <v>3700.88</v>
      </c>
      <c r="J1205" s="98"/>
      <c r="K1205" s="14"/>
      <c r="L1205" s="14"/>
      <c r="M1205" s="14"/>
    </row>
    <row r="1206" spans="1:13" ht="18.75" customHeight="1" x14ac:dyDescent="0.25">
      <c r="A1206" s="117"/>
      <c r="B1206" s="123"/>
      <c r="C1206" s="117"/>
      <c r="D1206" s="117"/>
      <c r="E1206" s="117"/>
      <c r="F1206" s="117"/>
      <c r="G1206" s="167"/>
      <c r="H1206" s="167"/>
      <c r="I1206" s="171"/>
      <c r="J1206" s="98"/>
      <c r="K1206" s="14"/>
      <c r="L1206" s="14"/>
      <c r="M1206" s="14"/>
    </row>
    <row r="1207" spans="1:13" ht="90" x14ac:dyDescent="0.25">
      <c r="A1207" s="116" t="s">
        <v>1296</v>
      </c>
      <c r="B1207" s="123"/>
      <c r="C1207" s="116" t="s">
        <v>1294</v>
      </c>
      <c r="D1207" s="107" t="s">
        <v>1961</v>
      </c>
      <c r="E1207" s="107" t="s">
        <v>1295</v>
      </c>
      <c r="F1207" s="107" t="s">
        <v>426</v>
      </c>
      <c r="G1207" s="19">
        <v>314</v>
      </c>
      <c r="H1207" s="19">
        <v>279</v>
      </c>
      <c r="I1207" s="73">
        <v>279</v>
      </c>
      <c r="J1207" s="98"/>
      <c r="K1207" s="14"/>
      <c r="L1207" s="14"/>
      <c r="M1207" s="14"/>
    </row>
    <row r="1208" spans="1:13" ht="45" customHeight="1" x14ac:dyDescent="0.25">
      <c r="A1208" s="118"/>
      <c r="B1208" s="123"/>
      <c r="C1208" s="118"/>
      <c r="D1208" s="107" t="s">
        <v>1280</v>
      </c>
      <c r="E1208" s="116" t="s">
        <v>16</v>
      </c>
      <c r="F1208" s="116" t="s">
        <v>6</v>
      </c>
      <c r="G1208" s="51">
        <f>10204.3+27748.51</f>
        <v>37952.81</v>
      </c>
      <c r="H1208" s="65">
        <f>10326.5+29035.7</f>
        <v>39362.199999999997</v>
      </c>
      <c r="I1208" s="78">
        <f>10051.1+29107.85</f>
        <v>39158.949999999997</v>
      </c>
      <c r="J1208" s="98"/>
      <c r="K1208" s="14"/>
      <c r="L1208" s="14"/>
      <c r="M1208" s="14"/>
    </row>
    <row r="1209" spans="1:13" ht="23.25" customHeight="1" x14ac:dyDescent="0.25">
      <c r="A1209" s="117"/>
      <c r="B1209" s="123"/>
      <c r="C1209" s="117"/>
      <c r="D1209" s="107" t="s">
        <v>382</v>
      </c>
      <c r="E1209" s="117"/>
      <c r="F1209" s="117"/>
      <c r="G1209" s="4">
        <v>15589.4</v>
      </c>
      <c r="H1209" s="4">
        <v>18639</v>
      </c>
      <c r="I1209" s="86">
        <v>18569.16</v>
      </c>
      <c r="J1209" s="98"/>
      <c r="K1209" s="14"/>
      <c r="L1209" s="14"/>
      <c r="M1209" s="14"/>
    </row>
    <row r="1210" spans="1:13" ht="60" x14ac:dyDescent="0.25">
      <c r="A1210" s="116" t="s">
        <v>1298</v>
      </c>
      <c r="B1210" s="123"/>
      <c r="C1210" s="116" t="s">
        <v>125</v>
      </c>
      <c r="D1210" s="107" t="s">
        <v>1962</v>
      </c>
      <c r="E1210" s="107" t="s">
        <v>1297</v>
      </c>
      <c r="F1210" s="107" t="s">
        <v>426</v>
      </c>
      <c r="G1210" s="19">
        <v>268</v>
      </c>
      <c r="H1210" s="19">
        <v>367</v>
      </c>
      <c r="I1210" s="73">
        <v>362</v>
      </c>
      <c r="J1210" s="98"/>
      <c r="K1210" s="14"/>
      <c r="L1210" s="14"/>
      <c r="M1210" s="14"/>
    </row>
    <row r="1211" spans="1:13" ht="45" customHeight="1" x14ac:dyDescent="0.25">
      <c r="A1211" s="118"/>
      <c r="B1211" s="123"/>
      <c r="C1211" s="118"/>
      <c r="D1211" s="116" t="s">
        <v>1280</v>
      </c>
      <c r="E1211" s="119" t="s">
        <v>188</v>
      </c>
      <c r="F1211" s="116" t="s">
        <v>6</v>
      </c>
      <c r="G1211" s="166">
        <f>12638.9+11640.9+15268.01</f>
        <v>39547.81</v>
      </c>
      <c r="H1211" s="166">
        <f>12790.3+13433+16203.7</f>
        <v>42427</v>
      </c>
      <c r="I1211" s="170">
        <f>12449.6+13413.4+15917.7</f>
        <v>41780.699999999997</v>
      </c>
      <c r="J1211" s="98"/>
      <c r="K1211" s="14"/>
      <c r="L1211" s="14"/>
      <c r="M1211" s="14"/>
    </row>
    <row r="1212" spans="1:13" ht="16.5" customHeight="1" x14ac:dyDescent="0.25">
      <c r="A1212" s="117"/>
      <c r="B1212" s="123"/>
      <c r="C1212" s="117"/>
      <c r="D1212" s="117"/>
      <c r="E1212" s="121"/>
      <c r="F1212" s="117"/>
      <c r="G1212" s="167"/>
      <c r="H1212" s="167"/>
      <c r="I1212" s="171"/>
      <c r="J1212" s="98"/>
      <c r="K1212" s="14"/>
      <c r="L1212" s="14"/>
      <c r="M1212" s="14"/>
    </row>
    <row r="1213" spans="1:13" ht="60" x14ac:dyDescent="0.25">
      <c r="A1213" s="116" t="s">
        <v>1300</v>
      </c>
      <c r="B1213" s="123"/>
      <c r="C1213" s="116" t="s">
        <v>118</v>
      </c>
      <c r="D1213" s="107" t="s">
        <v>1963</v>
      </c>
      <c r="E1213" s="107" t="s">
        <v>1301</v>
      </c>
      <c r="F1213" s="107" t="s">
        <v>103</v>
      </c>
      <c r="G1213" s="19">
        <v>12</v>
      </c>
      <c r="H1213" s="19">
        <v>12</v>
      </c>
      <c r="I1213" s="73">
        <v>12</v>
      </c>
      <c r="J1213" s="98"/>
      <c r="K1213" s="14"/>
      <c r="L1213" s="14"/>
      <c r="M1213" s="14"/>
    </row>
    <row r="1214" spans="1:13" ht="45" customHeight="1" x14ac:dyDescent="0.25">
      <c r="A1214" s="118"/>
      <c r="B1214" s="123"/>
      <c r="C1214" s="118"/>
      <c r="D1214" s="116" t="s">
        <v>1299</v>
      </c>
      <c r="E1214" s="116" t="s">
        <v>16</v>
      </c>
      <c r="F1214" s="116" t="s">
        <v>6</v>
      </c>
      <c r="G1214" s="166">
        <v>5248.1</v>
      </c>
      <c r="H1214" s="166">
        <v>5912.88</v>
      </c>
      <c r="I1214" s="170">
        <v>5924.7</v>
      </c>
      <c r="J1214" s="98"/>
      <c r="K1214" s="14"/>
      <c r="L1214" s="14"/>
      <c r="M1214" s="14"/>
    </row>
    <row r="1215" spans="1:13" x14ac:dyDescent="0.25">
      <c r="A1215" s="117"/>
      <c r="B1215" s="123"/>
      <c r="C1215" s="117"/>
      <c r="D1215" s="117"/>
      <c r="E1215" s="117"/>
      <c r="F1215" s="117"/>
      <c r="G1215" s="167"/>
      <c r="H1215" s="167"/>
      <c r="I1215" s="171"/>
      <c r="J1215" s="98"/>
      <c r="K1215" s="14"/>
      <c r="L1215" s="14"/>
      <c r="M1215" s="14"/>
    </row>
    <row r="1216" spans="1:13" ht="60" x14ac:dyDescent="0.25">
      <c r="A1216" s="116" t="s">
        <v>1304</v>
      </c>
      <c r="B1216" s="123"/>
      <c r="C1216" s="116" t="s">
        <v>118</v>
      </c>
      <c r="D1216" s="107" t="s">
        <v>1964</v>
      </c>
      <c r="E1216" s="107" t="s">
        <v>1302</v>
      </c>
      <c r="F1216" s="107" t="s">
        <v>103</v>
      </c>
      <c r="G1216" s="19">
        <v>4</v>
      </c>
      <c r="H1216" s="19">
        <v>4</v>
      </c>
      <c r="I1216" s="73">
        <v>4</v>
      </c>
      <c r="J1216" s="98"/>
      <c r="K1216" s="14"/>
      <c r="L1216" s="14"/>
      <c r="M1216" s="14"/>
    </row>
    <row r="1217" spans="1:13" ht="45" customHeight="1" x14ac:dyDescent="0.25">
      <c r="A1217" s="118"/>
      <c r="B1217" s="123"/>
      <c r="C1217" s="118"/>
      <c r="D1217" s="116" t="s">
        <v>1303</v>
      </c>
      <c r="E1217" s="116" t="s">
        <v>16</v>
      </c>
      <c r="F1217" s="116" t="s">
        <v>6</v>
      </c>
      <c r="G1217" s="166">
        <v>2270.46</v>
      </c>
      <c r="H1217" s="166">
        <v>2558.0700000000002</v>
      </c>
      <c r="I1217" s="170">
        <v>2563.16</v>
      </c>
      <c r="J1217" s="98"/>
      <c r="K1217" s="14"/>
      <c r="L1217" s="14"/>
      <c r="M1217" s="14"/>
    </row>
    <row r="1218" spans="1:13" x14ac:dyDescent="0.25">
      <c r="A1218" s="117"/>
      <c r="B1218" s="123"/>
      <c r="C1218" s="117"/>
      <c r="D1218" s="117"/>
      <c r="E1218" s="117"/>
      <c r="F1218" s="117"/>
      <c r="G1218" s="167"/>
      <c r="H1218" s="167"/>
      <c r="I1218" s="171"/>
      <c r="J1218" s="98"/>
      <c r="K1218" s="14"/>
      <c r="L1218" s="14"/>
      <c r="M1218" s="14"/>
    </row>
    <row r="1219" spans="1:13" ht="60" x14ac:dyDescent="0.25">
      <c r="A1219" s="116" t="s">
        <v>1306</v>
      </c>
      <c r="B1219" s="123"/>
      <c r="C1219" s="116" t="s">
        <v>56</v>
      </c>
      <c r="D1219" s="107" t="s">
        <v>1965</v>
      </c>
      <c r="E1219" s="107" t="s">
        <v>1305</v>
      </c>
      <c r="F1219" s="107" t="s">
        <v>85</v>
      </c>
      <c r="G1219" s="19">
        <v>3</v>
      </c>
      <c r="H1219" s="19">
        <v>3</v>
      </c>
      <c r="I1219" s="73">
        <v>3</v>
      </c>
      <c r="J1219" s="98"/>
      <c r="K1219" s="14"/>
      <c r="L1219" s="14"/>
      <c r="M1219" s="14"/>
    </row>
    <row r="1220" spans="1:13" ht="45" customHeight="1" x14ac:dyDescent="0.25">
      <c r="A1220" s="118"/>
      <c r="B1220" s="123"/>
      <c r="C1220" s="118"/>
      <c r="D1220" s="116" t="s">
        <v>1299</v>
      </c>
      <c r="E1220" s="116" t="s">
        <v>16</v>
      </c>
      <c r="F1220" s="116" t="s">
        <v>6</v>
      </c>
      <c r="G1220" s="166">
        <v>24826.14</v>
      </c>
      <c r="H1220" s="168">
        <v>27921.439999999999</v>
      </c>
      <c r="I1220" s="170">
        <v>28026.7</v>
      </c>
      <c r="J1220" s="98"/>
      <c r="K1220" s="14"/>
      <c r="L1220" s="14"/>
      <c r="M1220" s="14"/>
    </row>
    <row r="1221" spans="1:13" ht="9.75" customHeight="1" x14ac:dyDescent="0.25">
      <c r="A1221" s="117"/>
      <c r="B1221" s="123"/>
      <c r="C1221" s="117"/>
      <c r="D1221" s="117"/>
      <c r="E1221" s="117"/>
      <c r="F1221" s="117"/>
      <c r="G1221" s="167"/>
      <c r="H1221" s="169"/>
      <c r="I1221" s="171"/>
      <c r="J1221" s="98"/>
      <c r="K1221" s="14"/>
      <c r="L1221" s="14"/>
      <c r="M1221" s="14"/>
    </row>
    <row r="1222" spans="1:13" ht="60" x14ac:dyDescent="0.25">
      <c r="A1222" s="116" t="s">
        <v>1309</v>
      </c>
      <c r="B1222" s="123"/>
      <c r="C1222" s="116" t="s">
        <v>215</v>
      </c>
      <c r="D1222" s="107" t="s">
        <v>1966</v>
      </c>
      <c r="E1222" s="107" t="s">
        <v>1307</v>
      </c>
      <c r="F1222" s="107" t="s">
        <v>85</v>
      </c>
      <c r="G1222" s="19">
        <v>2</v>
      </c>
      <c r="H1222" s="19">
        <v>2</v>
      </c>
      <c r="I1222" s="73">
        <v>2</v>
      </c>
      <c r="J1222" s="98"/>
      <c r="K1222" s="14"/>
      <c r="L1222" s="14"/>
      <c r="M1222" s="14"/>
    </row>
    <row r="1223" spans="1:13" ht="60" x14ac:dyDescent="0.25">
      <c r="A1223" s="117"/>
      <c r="B1223" s="123"/>
      <c r="C1223" s="117"/>
      <c r="D1223" s="107" t="s">
        <v>1308</v>
      </c>
      <c r="E1223" s="107" t="s">
        <v>16</v>
      </c>
      <c r="F1223" s="107" t="s">
        <v>6</v>
      </c>
      <c r="G1223" s="20">
        <v>4875.8999999999996</v>
      </c>
      <c r="H1223" s="20">
        <v>5493.53</v>
      </c>
      <c r="I1223" s="76">
        <v>5504.5</v>
      </c>
      <c r="J1223" s="98"/>
      <c r="K1223" s="14"/>
      <c r="L1223" s="14"/>
      <c r="M1223" s="14"/>
    </row>
    <row r="1224" spans="1:13" ht="36" customHeight="1" x14ac:dyDescent="0.25">
      <c r="A1224" s="116" t="s">
        <v>1311</v>
      </c>
      <c r="B1224" s="123"/>
      <c r="C1224" s="116" t="s">
        <v>390</v>
      </c>
      <c r="D1224" s="116" t="s">
        <v>1967</v>
      </c>
      <c r="E1224" s="107" t="s">
        <v>391</v>
      </c>
      <c r="F1224" s="107" t="s">
        <v>85</v>
      </c>
      <c r="G1224" s="19">
        <v>1</v>
      </c>
      <c r="H1224" s="19">
        <v>1</v>
      </c>
      <c r="I1224" s="73">
        <v>1</v>
      </c>
      <c r="J1224" s="98"/>
      <c r="K1224" s="14"/>
      <c r="L1224" s="14"/>
      <c r="M1224" s="14"/>
    </row>
    <row r="1225" spans="1:13" ht="26.25" customHeight="1" x14ac:dyDescent="0.25">
      <c r="A1225" s="118"/>
      <c r="B1225" s="123"/>
      <c r="C1225" s="118"/>
      <c r="D1225" s="141"/>
      <c r="E1225" s="107" t="s">
        <v>36</v>
      </c>
      <c r="F1225" s="107" t="s">
        <v>103</v>
      </c>
      <c r="G1225" s="19">
        <v>2215</v>
      </c>
      <c r="H1225" s="19">
        <v>2215</v>
      </c>
      <c r="I1225" s="73">
        <v>2225</v>
      </c>
      <c r="J1225" s="98"/>
      <c r="K1225" s="14"/>
      <c r="L1225" s="14"/>
      <c r="M1225" s="14"/>
    </row>
    <row r="1226" spans="1:13" ht="17.25" customHeight="1" x14ac:dyDescent="0.25">
      <c r="A1226" s="118"/>
      <c r="B1226" s="123"/>
      <c r="C1226" s="118"/>
      <c r="D1226" s="116" t="s">
        <v>1310</v>
      </c>
      <c r="E1226" s="116" t="s">
        <v>16</v>
      </c>
      <c r="F1226" s="116" t="s">
        <v>6</v>
      </c>
      <c r="G1226" s="166">
        <f>6197.3</f>
        <v>6197.3</v>
      </c>
      <c r="H1226" s="166">
        <v>6496.3</v>
      </c>
      <c r="I1226" s="170">
        <f>6532.8</f>
        <v>6532.8</v>
      </c>
      <c r="J1226" s="98"/>
      <c r="K1226" s="14"/>
      <c r="L1226" s="14"/>
      <c r="M1226" s="14"/>
    </row>
    <row r="1227" spans="1:13" ht="48" customHeight="1" x14ac:dyDescent="0.25">
      <c r="A1227" s="117"/>
      <c r="B1227" s="123"/>
      <c r="C1227" s="117"/>
      <c r="D1227" s="117"/>
      <c r="E1227" s="117"/>
      <c r="F1227" s="117"/>
      <c r="G1227" s="167"/>
      <c r="H1227" s="167"/>
      <c r="I1227" s="171"/>
      <c r="J1227" s="98"/>
      <c r="K1227" s="14"/>
      <c r="L1227" s="14"/>
      <c r="M1227" s="14"/>
    </row>
    <row r="1228" spans="1:13" ht="30" customHeight="1" x14ac:dyDescent="0.25">
      <c r="A1228" s="116" t="s">
        <v>1313</v>
      </c>
      <c r="B1228" s="123"/>
      <c r="C1228" s="116" t="s">
        <v>393</v>
      </c>
      <c r="D1228" s="116" t="s">
        <v>1968</v>
      </c>
      <c r="E1228" s="107" t="s">
        <v>228</v>
      </c>
      <c r="F1228" s="116" t="s">
        <v>426</v>
      </c>
      <c r="G1228" s="19">
        <v>16650</v>
      </c>
      <c r="H1228" s="19">
        <v>16650</v>
      </c>
      <c r="I1228" s="73">
        <v>16346</v>
      </c>
      <c r="J1228" s="98"/>
      <c r="K1228" s="14"/>
      <c r="L1228" s="14"/>
      <c r="M1228" s="14"/>
    </row>
    <row r="1229" spans="1:13" ht="42.75" customHeight="1" x14ac:dyDescent="0.25">
      <c r="A1229" s="118"/>
      <c r="B1229" s="123"/>
      <c r="C1229" s="118"/>
      <c r="D1229" s="141"/>
      <c r="E1229" s="107" t="s">
        <v>394</v>
      </c>
      <c r="F1229" s="117"/>
      <c r="G1229" s="19">
        <v>6500</v>
      </c>
      <c r="H1229" s="19">
        <v>6500</v>
      </c>
      <c r="I1229" s="73">
        <v>7307</v>
      </c>
      <c r="J1229" s="98"/>
      <c r="K1229" s="14"/>
      <c r="L1229" s="14"/>
      <c r="M1229" s="14"/>
    </row>
    <row r="1230" spans="1:13" ht="45" customHeight="1" x14ac:dyDescent="0.25">
      <c r="A1230" s="118"/>
      <c r="B1230" s="123"/>
      <c r="C1230" s="118"/>
      <c r="D1230" s="119" t="s">
        <v>1312</v>
      </c>
      <c r="E1230" s="116" t="s">
        <v>16</v>
      </c>
      <c r="F1230" s="116" t="s">
        <v>6</v>
      </c>
      <c r="G1230" s="166">
        <f>59650.32+23197.34</f>
        <v>82847.66</v>
      </c>
      <c r="H1230" s="166">
        <v>93760.62</v>
      </c>
      <c r="I1230" s="170">
        <f>73626.24+28632.42</f>
        <v>102258.66</v>
      </c>
      <c r="J1230" s="98"/>
      <c r="K1230" s="14"/>
      <c r="L1230" s="14"/>
      <c r="M1230" s="14"/>
    </row>
    <row r="1231" spans="1:13" x14ac:dyDescent="0.25">
      <c r="A1231" s="117"/>
      <c r="B1231" s="123"/>
      <c r="C1231" s="117"/>
      <c r="D1231" s="121"/>
      <c r="E1231" s="117"/>
      <c r="F1231" s="117"/>
      <c r="G1231" s="167"/>
      <c r="H1231" s="167"/>
      <c r="I1231" s="171"/>
      <c r="J1231" s="98"/>
      <c r="K1231" s="14"/>
      <c r="L1231" s="14"/>
      <c r="M1231" s="14"/>
    </row>
    <row r="1232" spans="1:13" ht="60" x14ac:dyDescent="0.25">
      <c r="A1232" s="116" t="s">
        <v>1314</v>
      </c>
      <c r="B1232" s="123"/>
      <c r="C1232" s="116" t="s">
        <v>397</v>
      </c>
      <c r="D1232" s="107" t="s">
        <v>1969</v>
      </c>
      <c r="E1232" s="107" t="s">
        <v>398</v>
      </c>
      <c r="F1232" s="107" t="s">
        <v>103</v>
      </c>
      <c r="G1232" s="19">
        <v>3200</v>
      </c>
      <c r="H1232" s="19">
        <v>3200</v>
      </c>
      <c r="I1232" s="73">
        <v>3250</v>
      </c>
      <c r="J1232" s="98"/>
      <c r="K1232" s="14"/>
      <c r="L1232" s="14"/>
      <c r="M1232" s="14"/>
    </row>
    <row r="1233" spans="1:13" ht="59.25" customHeight="1" x14ac:dyDescent="0.25">
      <c r="A1233" s="118"/>
      <c r="B1233" s="123"/>
      <c r="C1233" s="118"/>
      <c r="D1233" s="107" t="s">
        <v>1236</v>
      </c>
      <c r="E1233" s="99" t="s">
        <v>16</v>
      </c>
      <c r="F1233" s="107" t="s">
        <v>6</v>
      </c>
      <c r="G1233" s="4">
        <f>6456.39</f>
        <v>6456.39</v>
      </c>
      <c r="H1233" s="4">
        <v>6285.43</v>
      </c>
      <c r="I1233" s="86">
        <f>6882</f>
        <v>6882</v>
      </c>
      <c r="J1233" s="98"/>
      <c r="K1233" s="14"/>
      <c r="L1233" s="14"/>
      <c r="M1233" s="14"/>
    </row>
    <row r="1234" spans="1:13" ht="60" x14ac:dyDescent="0.25">
      <c r="A1234" s="116" t="s">
        <v>1318</v>
      </c>
      <c r="B1234" s="123"/>
      <c r="C1234" s="116" t="s">
        <v>1315</v>
      </c>
      <c r="D1234" s="99" t="s">
        <v>1970</v>
      </c>
      <c r="E1234" s="104" t="s">
        <v>1316</v>
      </c>
      <c r="F1234" s="101" t="s">
        <v>426</v>
      </c>
      <c r="G1234" s="19">
        <v>33000</v>
      </c>
      <c r="H1234" s="19">
        <v>25998</v>
      </c>
      <c r="I1234" s="73">
        <v>24796</v>
      </c>
      <c r="J1234" s="98"/>
      <c r="K1234" s="14"/>
      <c r="L1234" s="14"/>
      <c r="M1234" s="14"/>
    </row>
    <row r="1235" spans="1:13" ht="48.75" customHeight="1" x14ac:dyDescent="0.25">
      <c r="A1235" s="118"/>
      <c r="B1235" s="123"/>
      <c r="C1235" s="118"/>
      <c r="D1235" s="99" t="s">
        <v>1317</v>
      </c>
      <c r="E1235" s="116" t="s">
        <v>16</v>
      </c>
      <c r="F1235" s="116" t="s">
        <v>6</v>
      </c>
      <c r="G1235" s="51">
        <v>35565.699999999997</v>
      </c>
      <c r="H1235" s="51">
        <v>40924</v>
      </c>
      <c r="I1235" s="78">
        <v>40924</v>
      </c>
      <c r="J1235" s="98"/>
      <c r="K1235" s="14"/>
      <c r="L1235" s="14"/>
      <c r="M1235" s="14"/>
    </row>
    <row r="1236" spans="1:13" x14ac:dyDescent="0.25">
      <c r="A1236" s="118"/>
      <c r="B1236" s="123"/>
      <c r="C1236" s="118"/>
      <c r="D1236" s="99" t="s">
        <v>403</v>
      </c>
      <c r="E1236" s="118"/>
      <c r="F1236" s="118"/>
      <c r="G1236" s="20">
        <v>354</v>
      </c>
      <c r="H1236" s="20">
        <v>246.45</v>
      </c>
      <c r="I1236" s="76">
        <v>194.1</v>
      </c>
      <c r="J1236" s="98"/>
      <c r="K1236" s="14"/>
      <c r="L1236" s="14"/>
      <c r="M1236" s="14"/>
    </row>
    <row r="1237" spans="1:13" x14ac:dyDescent="0.25">
      <c r="A1237" s="118"/>
      <c r="B1237" s="123"/>
      <c r="C1237" s="118"/>
      <c r="D1237" s="99" t="s">
        <v>404</v>
      </c>
      <c r="E1237" s="118"/>
      <c r="F1237" s="118"/>
      <c r="G1237" s="20">
        <v>11448.6</v>
      </c>
      <c r="H1237" s="20">
        <v>12721.3</v>
      </c>
      <c r="I1237" s="76">
        <v>12721.3</v>
      </c>
      <c r="J1237" s="98"/>
      <c r="K1237" s="14"/>
      <c r="L1237" s="14"/>
      <c r="M1237" s="14"/>
    </row>
    <row r="1238" spans="1:13" x14ac:dyDescent="0.25">
      <c r="A1238" s="118"/>
      <c r="B1238" s="123"/>
      <c r="C1238" s="118"/>
      <c r="D1238" s="99" t="s">
        <v>405</v>
      </c>
      <c r="E1238" s="118"/>
      <c r="F1238" s="118"/>
      <c r="G1238" s="20">
        <v>337.3</v>
      </c>
      <c r="H1238" s="20">
        <v>239.16</v>
      </c>
      <c r="I1238" s="76">
        <v>235</v>
      </c>
      <c r="J1238" s="98"/>
      <c r="K1238" s="14"/>
      <c r="L1238" s="14"/>
      <c r="M1238" s="14"/>
    </row>
    <row r="1239" spans="1:13" x14ac:dyDescent="0.25">
      <c r="A1239" s="118"/>
      <c r="B1239" s="123"/>
      <c r="C1239" s="118"/>
      <c r="D1239" s="99" t="s">
        <v>406</v>
      </c>
      <c r="E1239" s="118"/>
      <c r="F1239" s="118"/>
      <c r="G1239" s="20">
        <v>16652.5</v>
      </c>
      <c r="H1239" s="20">
        <v>12782.8</v>
      </c>
      <c r="I1239" s="76">
        <v>12709</v>
      </c>
      <c r="J1239" s="98"/>
      <c r="K1239" s="14"/>
      <c r="L1239" s="14"/>
      <c r="M1239" s="14"/>
    </row>
    <row r="1240" spans="1:13" x14ac:dyDescent="0.25">
      <c r="A1240" s="118"/>
      <c r="B1240" s="123"/>
      <c r="C1240" s="118"/>
      <c r="D1240" s="99" t="s">
        <v>407</v>
      </c>
      <c r="E1240" s="118"/>
      <c r="F1240" s="118"/>
      <c r="G1240" s="20">
        <v>688</v>
      </c>
      <c r="H1240" s="20">
        <v>380</v>
      </c>
      <c r="I1240" s="76">
        <v>380</v>
      </c>
      <c r="J1240" s="98"/>
      <c r="K1240" s="14"/>
      <c r="L1240" s="14"/>
      <c r="M1240" s="14"/>
    </row>
    <row r="1241" spans="1:13" x14ac:dyDescent="0.25">
      <c r="A1241" s="118"/>
      <c r="B1241" s="123"/>
      <c r="C1241" s="118"/>
      <c r="D1241" s="99" t="s">
        <v>408</v>
      </c>
      <c r="E1241" s="118"/>
      <c r="F1241" s="118"/>
      <c r="G1241" s="20">
        <v>4</v>
      </c>
      <c r="H1241" s="20">
        <v>4</v>
      </c>
      <c r="I1241" s="76">
        <v>4</v>
      </c>
      <c r="J1241" s="98"/>
      <c r="K1241" s="14"/>
      <c r="L1241" s="14"/>
      <c r="M1241" s="14"/>
    </row>
    <row r="1242" spans="1:13" x14ac:dyDescent="0.25">
      <c r="A1242" s="118"/>
      <c r="B1242" s="123"/>
      <c r="C1242" s="118"/>
      <c r="D1242" s="99" t="s">
        <v>409</v>
      </c>
      <c r="E1242" s="118"/>
      <c r="F1242" s="118"/>
      <c r="G1242" s="20">
        <v>0</v>
      </c>
      <c r="H1242" s="20">
        <v>460</v>
      </c>
      <c r="I1242" s="76">
        <v>460</v>
      </c>
      <c r="J1242" s="98"/>
      <c r="K1242" s="14"/>
      <c r="L1242" s="14"/>
      <c r="M1242" s="14"/>
    </row>
    <row r="1243" spans="1:13" x14ac:dyDescent="0.25">
      <c r="A1243" s="117"/>
      <c r="B1243" s="123"/>
      <c r="C1243" s="117"/>
      <c r="D1243" s="99" t="s">
        <v>410</v>
      </c>
      <c r="E1243" s="117"/>
      <c r="F1243" s="117"/>
      <c r="G1243" s="20">
        <v>0</v>
      </c>
      <c r="H1243" s="20">
        <v>1081.4000000000001</v>
      </c>
      <c r="I1243" s="76">
        <v>1081.4000000000001</v>
      </c>
      <c r="J1243" s="98"/>
      <c r="K1243" s="14"/>
      <c r="L1243" s="14"/>
      <c r="M1243" s="14"/>
    </row>
    <row r="1244" spans="1:13" ht="60" x14ac:dyDescent="0.25">
      <c r="A1244" s="116" t="s">
        <v>1322</v>
      </c>
      <c r="B1244" s="123"/>
      <c r="C1244" s="116" t="s">
        <v>1319</v>
      </c>
      <c r="D1244" s="99" t="s">
        <v>1971</v>
      </c>
      <c r="E1244" s="104" t="s">
        <v>1320</v>
      </c>
      <c r="F1244" s="101" t="s">
        <v>426</v>
      </c>
      <c r="G1244" s="19">
        <v>160</v>
      </c>
      <c r="H1244" s="19">
        <v>160</v>
      </c>
      <c r="I1244" s="73">
        <v>144</v>
      </c>
      <c r="J1244" s="98"/>
      <c r="K1244" s="14"/>
      <c r="L1244" s="14"/>
      <c r="M1244" s="14"/>
    </row>
    <row r="1245" spans="1:13" ht="49.5" customHeight="1" x14ac:dyDescent="0.25">
      <c r="A1245" s="118"/>
      <c r="B1245" s="123"/>
      <c r="C1245" s="118"/>
      <c r="D1245" s="107" t="s">
        <v>1321</v>
      </c>
      <c r="E1245" s="116" t="s">
        <v>16</v>
      </c>
      <c r="F1245" s="119" t="s">
        <v>6</v>
      </c>
      <c r="G1245" s="51">
        <f>55438.3+41015.22</f>
        <v>96453.52</v>
      </c>
      <c r="H1245" s="51">
        <f>63770.3+53607.56</f>
        <v>117377.86</v>
      </c>
      <c r="I1245" s="78">
        <f>63770.3+52784.15</f>
        <v>116554.45000000001</v>
      </c>
      <c r="J1245" s="98"/>
      <c r="K1245" s="14"/>
      <c r="L1245" s="14"/>
      <c r="M1245" s="14"/>
    </row>
    <row r="1246" spans="1:13" x14ac:dyDescent="0.25">
      <c r="A1246" s="118"/>
      <c r="B1246" s="123"/>
      <c r="C1246" s="118"/>
      <c r="D1246" s="107" t="s">
        <v>414</v>
      </c>
      <c r="E1246" s="118"/>
      <c r="F1246" s="120"/>
      <c r="G1246" s="20">
        <f>14.5+231.8</f>
        <v>246.3</v>
      </c>
      <c r="H1246" s="20">
        <v>86.33</v>
      </c>
      <c r="I1246" s="76">
        <v>48.43</v>
      </c>
      <c r="J1246" s="98"/>
      <c r="K1246" s="14"/>
      <c r="L1246" s="14"/>
      <c r="M1246" s="14"/>
    </row>
    <row r="1247" spans="1:13" x14ac:dyDescent="0.25">
      <c r="A1247" s="118"/>
      <c r="B1247" s="123"/>
      <c r="C1247" s="118"/>
      <c r="D1247" s="107" t="s">
        <v>415</v>
      </c>
      <c r="E1247" s="118"/>
      <c r="F1247" s="120"/>
      <c r="G1247" s="20">
        <f>18112.7+12794.12</f>
        <v>30906.82</v>
      </c>
      <c r="H1247" s="20">
        <f>20013.6+15720.35</f>
        <v>35733.949999999997</v>
      </c>
      <c r="I1247" s="76">
        <f>20013.6+14162.26</f>
        <v>34175.86</v>
      </c>
      <c r="J1247" s="98"/>
      <c r="K1247" s="14"/>
      <c r="L1247" s="14"/>
      <c r="M1247" s="14"/>
    </row>
    <row r="1248" spans="1:13" x14ac:dyDescent="0.25">
      <c r="A1248" s="118"/>
      <c r="B1248" s="123"/>
      <c r="C1248" s="118"/>
      <c r="D1248" s="107" t="s">
        <v>416</v>
      </c>
      <c r="E1248" s="118"/>
      <c r="F1248" s="120"/>
      <c r="G1248" s="20">
        <f>266.1+301.25</f>
        <v>567.35</v>
      </c>
      <c r="H1248" s="20">
        <f>266.2+298.77</f>
        <v>564.97</v>
      </c>
      <c r="I1248" s="76">
        <f>266.2+298.42</f>
        <v>564.62</v>
      </c>
      <c r="J1248" s="98"/>
      <c r="K1248" s="14"/>
      <c r="L1248" s="14"/>
      <c r="M1248" s="14"/>
    </row>
    <row r="1249" spans="1:13" x14ac:dyDescent="0.25">
      <c r="A1249" s="118"/>
      <c r="B1249" s="123"/>
      <c r="C1249" s="118"/>
      <c r="D1249" s="107" t="s">
        <v>417</v>
      </c>
      <c r="E1249" s="118"/>
      <c r="F1249" s="120"/>
      <c r="G1249" s="20">
        <v>0</v>
      </c>
      <c r="H1249" s="20">
        <f>517.5</f>
        <v>517.5</v>
      </c>
      <c r="I1249" s="76">
        <f>517.5</f>
        <v>517.5</v>
      </c>
      <c r="J1249" s="98"/>
      <c r="K1249" s="14"/>
      <c r="L1249" s="14"/>
      <c r="M1249" s="14"/>
    </row>
    <row r="1250" spans="1:13" x14ac:dyDescent="0.25">
      <c r="A1250" s="118"/>
      <c r="B1250" s="123"/>
      <c r="C1250" s="118"/>
      <c r="D1250" s="107" t="s">
        <v>418</v>
      </c>
      <c r="E1250" s="118"/>
      <c r="F1250" s="120"/>
      <c r="G1250" s="20">
        <f>12376.1+14135.69</f>
        <v>26511.79</v>
      </c>
      <c r="H1250" s="20">
        <f>11067.2+13992.27</f>
        <v>25059.47</v>
      </c>
      <c r="I1250" s="76">
        <f>10994.2+13747.66</f>
        <v>24741.86</v>
      </c>
      <c r="J1250" s="98"/>
      <c r="K1250" s="14"/>
      <c r="L1250" s="14"/>
      <c r="M1250" s="14"/>
    </row>
    <row r="1251" spans="1:13" x14ac:dyDescent="0.25">
      <c r="A1251" s="118"/>
      <c r="B1251" s="123"/>
      <c r="C1251" s="118"/>
      <c r="D1251" s="107" t="s">
        <v>419</v>
      </c>
      <c r="E1251" s="118"/>
      <c r="F1251" s="120"/>
      <c r="G1251" s="20">
        <f>433.8+384.7</f>
        <v>818.5</v>
      </c>
      <c r="H1251" s="20">
        <f>433.8+368.32</f>
        <v>802.12</v>
      </c>
      <c r="I1251" s="76">
        <f>433.8+368.22</f>
        <v>802.02</v>
      </c>
      <c r="J1251" s="98"/>
      <c r="K1251" s="14"/>
      <c r="L1251" s="14"/>
      <c r="M1251" s="14"/>
    </row>
    <row r="1252" spans="1:13" x14ac:dyDescent="0.25">
      <c r="A1252" s="118"/>
      <c r="B1252" s="123"/>
      <c r="C1252" s="118"/>
      <c r="D1252" s="107" t="s">
        <v>420</v>
      </c>
      <c r="E1252" s="118"/>
      <c r="F1252" s="120"/>
      <c r="G1252" s="20">
        <f>22.2+59.93</f>
        <v>82.13</v>
      </c>
      <c r="H1252" s="20">
        <f>2+25</f>
        <v>27</v>
      </c>
      <c r="I1252" s="76">
        <f>2+18</f>
        <v>20</v>
      </c>
      <c r="J1252" s="98"/>
      <c r="K1252" s="14"/>
      <c r="L1252" s="14"/>
      <c r="M1252" s="14"/>
    </row>
    <row r="1253" spans="1:13" x14ac:dyDescent="0.25">
      <c r="A1253" s="118"/>
      <c r="B1253" s="123"/>
      <c r="C1253" s="118"/>
      <c r="D1253" s="107" t="s">
        <v>421</v>
      </c>
      <c r="E1253" s="118"/>
      <c r="F1253" s="120"/>
      <c r="G1253" s="20">
        <v>0</v>
      </c>
      <c r="H1253" s="20">
        <f>0.02+19.17</f>
        <v>19.190000000000001</v>
      </c>
      <c r="I1253" s="76">
        <f>0.02+19.17</f>
        <v>19.190000000000001</v>
      </c>
      <c r="J1253" s="98"/>
      <c r="K1253" s="14"/>
      <c r="L1253" s="14"/>
      <c r="M1253" s="14"/>
    </row>
    <row r="1254" spans="1:13" x14ac:dyDescent="0.25">
      <c r="A1254" s="117"/>
      <c r="B1254" s="123"/>
      <c r="C1254" s="117"/>
      <c r="D1254" s="107" t="s">
        <v>422</v>
      </c>
      <c r="E1254" s="117"/>
      <c r="F1254" s="121"/>
      <c r="G1254" s="20">
        <v>0</v>
      </c>
      <c r="H1254" s="20">
        <f>511.8</f>
        <v>511.8</v>
      </c>
      <c r="I1254" s="76">
        <f>511.8</f>
        <v>511.8</v>
      </c>
      <c r="J1254" s="98"/>
      <c r="K1254" s="14"/>
      <c r="L1254" s="14"/>
      <c r="M1254" s="14"/>
    </row>
    <row r="1255" spans="1:13" ht="58.5" customHeight="1" x14ac:dyDescent="0.25">
      <c r="A1255" s="116" t="s">
        <v>1323</v>
      </c>
      <c r="B1255" s="123"/>
      <c r="C1255" s="116" t="s">
        <v>423</v>
      </c>
      <c r="D1255" s="31" t="s">
        <v>1972</v>
      </c>
      <c r="E1255" s="101" t="s">
        <v>228</v>
      </c>
      <c r="F1255" s="101" t="s">
        <v>426</v>
      </c>
      <c r="G1255" s="19">
        <v>3000</v>
      </c>
      <c r="H1255" s="19">
        <v>2800</v>
      </c>
      <c r="I1255" s="73">
        <v>2633</v>
      </c>
      <c r="J1255" s="98"/>
      <c r="K1255" s="14"/>
      <c r="L1255" s="14"/>
      <c r="M1255" s="14"/>
    </row>
    <row r="1256" spans="1:13" ht="49.5" customHeight="1" x14ac:dyDescent="0.25">
      <c r="A1256" s="118"/>
      <c r="B1256" s="123"/>
      <c r="C1256" s="118"/>
      <c r="D1256" s="107" t="s">
        <v>1240</v>
      </c>
      <c r="E1256" s="116" t="s">
        <v>16</v>
      </c>
      <c r="F1256" s="119" t="s">
        <v>6</v>
      </c>
      <c r="G1256" s="51">
        <v>10459.36</v>
      </c>
      <c r="H1256" s="51">
        <v>10602.07</v>
      </c>
      <c r="I1256" s="78">
        <v>10602.07</v>
      </c>
      <c r="J1256" s="98"/>
      <c r="K1256" s="14"/>
      <c r="L1256" s="14"/>
      <c r="M1256" s="14"/>
    </row>
    <row r="1257" spans="1:13" x14ac:dyDescent="0.25">
      <c r="A1257" s="118"/>
      <c r="B1257" s="123"/>
      <c r="C1257" s="118"/>
      <c r="D1257" s="107" t="s">
        <v>319</v>
      </c>
      <c r="E1257" s="118"/>
      <c r="F1257" s="120"/>
      <c r="G1257" s="20">
        <v>3158.73</v>
      </c>
      <c r="H1257" s="20">
        <v>3201.82</v>
      </c>
      <c r="I1257" s="76">
        <v>3201.82</v>
      </c>
      <c r="J1257" s="98"/>
      <c r="K1257" s="14"/>
      <c r="L1257" s="14"/>
      <c r="M1257" s="14"/>
    </row>
    <row r="1258" spans="1:13" x14ac:dyDescent="0.25">
      <c r="A1258" s="118"/>
      <c r="B1258" s="123"/>
      <c r="C1258" s="118"/>
      <c r="D1258" s="107" t="s">
        <v>320</v>
      </c>
      <c r="E1258" s="118"/>
      <c r="F1258" s="120"/>
      <c r="G1258" s="20">
        <v>12</v>
      </c>
      <c r="H1258" s="20">
        <v>11.2</v>
      </c>
      <c r="I1258" s="76">
        <v>11.2</v>
      </c>
      <c r="J1258" s="98"/>
      <c r="K1258" s="14"/>
      <c r="L1258" s="14"/>
      <c r="M1258" s="14"/>
    </row>
    <row r="1259" spans="1:13" x14ac:dyDescent="0.25">
      <c r="A1259" s="118"/>
      <c r="B1259" s="123"/>
      <c r="C1259" s="118"/>
      <c r="D1259" s="107" t="s">
        <v>321</v>
      </c>
      <c r="E1259" s="118"/>
      <c r="F1259" s="120"/>
      <c r="G1259" s="20">
        <v>1498.89</v>
      </c>
      <c r="H1259" s="20">
        <v>1398.56</v>
      </c>
      <c r="I1259" s="76">
        <v>1398.74</v>
      </c>
      <c r="J1259" s="98"/>
      <c r="K1259" s="14"/>
      <c r="L1259" s="14"/>
      <c r="M1259" s="14"/>
    </row>
    <row r="1260" spans="1:13" x14ac:dyDescent="0.25">
      <c r="A1260" s="117"/>
      <c r="B1260" s="123"/>
      <c r="C1260" s="117"/>
      <c r="D1260" s="107" t="s">
        <v>322</v>
      </c>
      <c r="E1260" s="117"/>
      <c r="F1260" s="121"/>
      <c r="G1260" s="20">
        <v>100.02</v>
      </c>
      <c r="H1260" s="20">
        <v>93.35</v>
      </c>
      <c r="I1260" s="76">
        <v>93.35</v>
      </c>
      <c r="J1260" s="98"/>
      <c r="K1260" s="14"/>
      <c r="L1260" s="14"/>
      <c r="M1260" s="14"/>
    </row>
    <row r="1261" spans="1:13" ht="62.25" customHeight="1" x14ac:dyDescent="0.25">
      <c r="A1261" s="116" t="s">
        <v>1325</v>
      </c>
      <c r="B1261" s="123"/>
      <c r="C1261" s="116" t="s">
        <v>424</v>
      </c>
      <c r="D1261" s="48" t="s">
        <v>1973</v>
      </c>
      <c r="E1261" s="101" t="s">
        <v>425</v>
      </c>
      <c r="F1261" s="101" t="s">
        <v>426</v>
      </c>
      <c r="G1261" s="19">
        <v>6840</v>
      </c>
      <c r="H1261" s="19">
        <v>6840</v>
      </c>
      <c r="I1261" s="73">
        <v>6804</v>
      </c>
      <c r="J1261" s="98"/>
      <c r="K1261" s="14"/>
      <c r="L1261" s="14"/>
      <c r="M1261" s="14"/>
    </row>
    <row r="1262" spans="1:13" ht="46.5" customHeight="1" x14ac:dyDescent="0.25">
      <c r="A1262" s="118"/>
      <c r="B1262" s="123"/>
      <c r="C1262" s="118"/>
      <c r="D1262" s="99" t="s">
        <v>1324</v>
      </c>
      <c r="E1262" s="116" t="s">
        <v>16</v>
      </c>
      <c r="F1262" s="119" t="s">
        <v>6</v>
      </c>
      <c r="G1262" s="51">
        <v>29178.6</v>
      </c>
      <c r="H1262" s="51">
        <v>38001.5</v>
      </c>
      <c r="I1262" s="78">
        <v>31490.6</v>
      </c>
      <c r="J1262" s="98"/>
      <c r="K1262" s="14"/>
      <c r="L1262" s="14"/>
      <c r="M1262" s="14"/>
    </row>
    <row r="1263" spans="1:13" x14ac:dyDescent="0.25">
      <c r="A1263" s="118"/>
      <c r="B1263" s="123"/>
      <c r="C1263" s="118"/>
      <c r="D1263" s="99" t="s">
        <v>428</v>
      </c>
      <c r="E1263" s="118"/>
      <c r="F1263" s="120"/>
      <c r="G1263" s="20">
        <v>300</v>
      </c>
      <c r="H1263" s="20">
        <v>330</v>
      </c>
      <c r="I1263" s="76">
        <v>329.9</v>
      </c>
      <c r="J1263" s="98"/>
      <c r="K1263" s="14"/>
      <c r="L1263" s="14"/>
      <c r="M1263" s="14"/>
    </row>
    <row r="1264" spans="1:13" x14ac:dyDescent="0.25">
      <c r="A1264" s="118"/>
      <c r="B1264" s="123"/>
      <c r="C1264" s="118"/>
      <c r="D1264" s="99" t="s">
        <v>429</v>
      </c>
      <c r="E1264" s="118"/>
      <c r="F1264" s="120"/>
      <c r="G1264" s="20">
        <v>8811.6</v>
      </c>
      <c r="H1264" s="20">
        <v>11671.9</v>
      </c>
      <c r="I1264" s="76">
        <v>9228.7000000000007</v>
      </c>
      <c r="J1264" s="98"/>
      <c r="K1264" s="14"/>
      <c r="L1264" s="14"/>
      <c r="M1264" s="14"/>
    </row>
    <row r="1265" spans="1:13" x14ac:dyDescent="0.25">
      <c r="A1265" s="118"/>
      <c r="B1265" s="123"/>
      <c r="C1265" s="118"/>
      <c r="D1265" s="99" t="s">
        <v>430</v>
      </c>
      <c r="E1265" s="118"/>
      <c r="F1265" s="120"/>
      <c r="G1265" s="20">
        <v>546.20000000000005</v>
      </c>
      <c r="H1265" s="20">
        <v>606.4</v>
      </c>
      <c r="I1265" s="76">
        <v>606.4</v>
      </c>
      <c r="J1265" s="98"/>
      <c r="K1265" s="14"/>
      <c r="L1265" s="14"/>
      <c r="M1265" s="14"/>
    </row>
    <row r="1266" spans="1:13" x14ac:dyDescent="0.25">
      <c r="A1266" s="118"/>
      <c r="B1266" s="123"/>
      <c r="C1266" s="118"/>
      <c r="D1266" s="99" t="s">
        <v>431</v>
      </c>
      <c r="E1266" s="118"/>
      <c r="F1266" s="120"/>
      <c r="G1266" s="20">
        <v>24891</v>
      </c>
      <c r="H1266" s="20">
        <v>24578</v>
      </c>
      <c r="I1266" s="76">
        <v>24577.599999999999</v>
      </c>
      <c r="J1266" s="98"/>
      <c r="K1266" s="14"/>
      <c r="L1266" s="14"/>
      <c r="M1266" s="14"/>
    </row>
    <row r="1267" spans="1:13" x14ac:dyDescent="0.25">
      <c r="A1267" s="118"/>
      <c r="B1267" s="123"/>
      <c r="C1267" s="118"/>
      <c r="D1267" s="99" t="s">
        <v>432</v>
      </c>
      <c r="E1267" s="118"/>
      <c r="F1267" s="120"/>
      <c r="G1267" s="20">
        <v>9000</v>
      </c>
      <c r="H1267" s="20">
        <v>9000</v>
      </c>
      <c r="I1267" s="76">
        <v>8872.1</v>
      </c>
      <c r="J1267" s="98"/>
      <c r="K1267" s="14"/>
      <c r="L1267" s="14"/>
      <c r="M1267" s="14"/>
    </row>
    <row r="1268" spans="1:13" x14ac:dyDescent="0.25">
      <c r="A1268" s="118"/>
      <c r="B1268" s="123"/>
      <c r="C1268" s="118"/>
      <c r="D1268" s="99" t="s">
        <v>433</v>
      </c>
      <c r="E1268" s="118"/>
      <c r="F1268" s="120"/>
      <c r="G1268" s="20">
        <v>409.8</v>
      </c>
      <c r="H1268" s="20">
        <v>120.8</v>
      </c>
      <c r="I1268" s="76">
        <v>120.8</v>
      </c>
      <c r="J1268" s="98"/>
      <c r="K1268" s="14"/>
      <c r="L1268" s="14"/>
      <c r="M1268" s="14"/>
    </row>
    <row r="1269" spans="1:13" x14ac:dyDescent="0.25">
      <c r="A1269" s="118"/>
      <c r="B1269" s="123"/>
      <c r="C1269" s="118"/>
      <c r="D1269" s="99" t="s">
        <v>434</v>
      </c>
      <c r="E1269" s="118"/>
      <c r="F1269" s="120"/>
      <c r="G1269" s="20">
        <v>86.7</v>
      </c>
      <c r="H1269" s="20">
        <v>2.8</v>
      </c>
      <c r="I1269" s="76">
        <v>2.8</v>
      </c>
      <c r="J1269" s="98"/>
      <c r="K1269" s="14"/>
      <c r="L1269" s="14"/>
      <c r="M1269" s="14"/>
    </row>
    <row r="1270" spans="1:13" x14ac:dyDescent="0.25">
      <c r="A1270" s="117"/>
      <c r="B1270" s="123"/>
      <c r="C1270" s="117"/>
      <c r="D1270" s="99" t="s">
        <v>435</v>
      </c>
      <c r="E1270" s="117"/>
      <c r="F1270" s="121"/>
      <c r="G1270" s="20">
        <v>0</v>
      </c>
      <c r="H1270" s="20">
        <v>50.8</v>
      </c>
      <c r="I1270" s="76">
        <v>50.8</v>
      </c>
      <c r="J1270" s="98"/>
      <c r="K1270" s="14"/>
      <c r="L1270" s="14"/>
      <c r="M1270" s="14"/>
    </row>
    <row r="1271" spans="1:13" ht="31.5" customHeight="1" x14ac:dyDescent="0.25">
      <c r="A1271" s="116" t="s">
        <v>1326</v>
      </c>
      <c r="B1271" s="123"/>
      <c r="C1271" s="116" t="s">
        <v>436</v>
      </c>
      <c r="D1271" s="116" t="s">
        <v>1974</v>
      </c>
      <c r="E1271" s="107" t="s">
        <v>394</v>
      </c>
      <c r="F1271" s="116" t="s">
        <v>85</v>
      </c>
      <c r="G1271" s="19">
        <v>24000</v>
      </c>
      <c r="H1271" s="19">
        <v>19400</v>
      </c>
      <c r="I1271" s="73">
        <v>18654</v>
      </c>
      <c r="J1271" s="98"/>
      <c r="K1271" s="14"/>
      <c r="L1271" s="14"/>
      <c r="M1271" s="14"/>
    </row>
    <row r="1272" spans="1:13" ht="48.75" customHeight="1" x14ac:dyDescent="0.25">
      <c r="A1272" s="118"/>
      <c r="B1272" s="123"/>
      <c r="C1272" s="118"/>
      <c r="D1272" s="141"/>
      <c r="E1272" s="107" t="s">
        <v>438</v>
      </c>
      <c r="F1272" s="117"/>
      <c r="G1272" s="19">
        <v>2300</v>
      </c>
      <c r="H1272" s="19">
        <v>2600</v>
      </c>
      <c r="I1272" s="73">
        <v>2777</v>
      </c>
      <c r="J1272" s="98"/>
      <c r="K1272" s="14"/>
      <c r="L1272" s="14"/>
      <c r="M1272" s="14"/>
    </row>
    <row r="1273" spans="1:13" ht="63.75" customHeight="1" x14ac:dyDescent="0.25">
      <c r="A1273" s="118"/>
      <c r="B1273" s="124"/>
      <c r="C1273" s="118"/>
      <c r="D1273" s="107" t="s">
        <v>1312</v>
      </c>
      <c r="E1273" s="99" t="s">
        <v>16</v>
      </c>
      <c r="F1273" s="99" t="s">
        <v>6</v>
      </c>
      <c r="G1273" s="20">
        <f>50567.8</f>
        <v>50567.8</v>
      </c>
      <c r="H1273" s="20">
        <v>48538.080000000002</v>
      </c>
      <c r="I1273" s="76">
        <f>55044.4</f>
        <v>55044.4</v>
      </c>
      <c r="J1273" s="98"/>
      <c r="K1273" s="14"/>
      <c r="L1273" s="14"/>
      <c r="M1273" s="14"/>
    </row>
    <row r="1274" spans="1:13" ht="57" x14ac:dyDescent="0.25">
      <c r="A1274" s="144" t="s">
        <v>1327</v>
      </c>
      <c r="B1274" s="145"/>
      <c r="C1274" s="145"/>
      <c r="D1274" s="147"/>
      <c r="E1274" s="10" t="s">
        <v>17</v>
      </c>
      <c r="F1274" s="10" t="s">
        <v>6</v>
      </c>
      <c r="G1274" s="33">
        <f>+G1084+G1085+G1086+G1087+G1090+G1091+G1092+G1093+G1094+G1097+G1098+G1099+G1100+G1101+G1104+G1105+G1106+G1107+G1108+G1109+G1112+G1113+G1116+G1117+G1118+G1119+G1120+G1122+G1125+G1128+G1129+G1130+G1131+G1132+G1133+G1134+G1135+G1137+G1140+G1141+G1142+G1144+G1147+G1150+G1151+G1152+G1153+G1154+G1155+G1157+G1158+G1160+G1164+G1165+G1166+G1167+G1168+G1169+G1170+G1171+G1172+G1173+G1174+G1175+G1176+G1177+G1178+G1179+G1180+G1181+G1182+G1183+G1184+G1185+G1186+G1187+G1189+G1191+G1194+G1197+G1200+G1202+G1205+G1208+G1209+G1211+G1214+G1217+G1220+G1223+G1226+G1230+G1233+G1235+G1236+G1237+G1238+G1239+G1240+G1241+G1242+G1243+G1245+G1246+G1247+G1248+G1249+G1250+G1251+G1252+G1253+G1254+G1256+G1257+G1258+G1259+G1260+G1262+G1263+G1264+G1265+G1266+G1267+G1268+G1269+G1273+G1270</f>
        <v>2192339.1099999994</v>
      </c>
      <c r="H1274" s="33">
        <f>+H1084+H1085+H1086+H1087+H1090+H1091+H1092+H1093+H1094+H1097+H1098+H1099+H1100+H1101+H1104+H1105+H1106+H1107+H1108+H1109+H1112+H1113+H1116+H1117+H1118+H1119+H1120+H1122+H1125+H1128+H1129+H1130+H1131+H1132+H1133+H1134+H1135+H1137+H1140+H1141+H1142+H1144+H1147+H1150+H1151+H1152+H1153+H1154+H1155+H1157+H1158+H1160+H1164+H1165+H1166+H1167+H1168+H1169+H1170+H1171+H1172+H1173+H1174+H1175+H1176+H1177+H1178+H1179+H1180+H1181+H1182+H1183+H1184+H1185+H1186+H1187+H1189+H1191+H1194+H1197+H1200+H1202+H1205+H1208+H1209+H1211+H1214+H1217+H1220+H1223+H1226+H1230+H1233+H1235+H1236+H1237+H1238+H1239+H1240+H1241+H1242+H1243+H1245+H1246+H1247+H1248+H1249+H1250+H1251+H1252+H1253+H1254+H1256+H1257+H1258+H1259+H1260+H1262+H1263+H1264+H1265+H1266+H1267+H1268+H1269+H1273+H1270</f>
        <v>2387308.9799999995</v>
      </c>
      <c r="I1274" s="79">
        <f>+I1084+I1085+I1086+I1087+I1090+I1091+I1092+I1093+I1094+I1097+I1098+I1099+I1100+I1101+I1104+I1105+I1106+I1107+I1108+I1109+I1112+I1113+I1116+I1117+I1118+I1119+I1120+I1122+I1125+I1128+I1129+I1130+I1131+I1132+I1133+I1134+I1135+I1137+I1140+I1141+I1142+I1144+I1147+I1150+I1151+I1152+I1153+I1154+I1155+I1157+I1158+I1160+I1164+I1165+I1166+I1167+I1168+I1169+I1170+I1171+I1172+I1173+I1174+I1175+I1176+I1177+I1178+I1179+I1180+I1181+I1182+I1183+I1184+I1185+I1186+I1187+I1189+I1191+I1194+I1197+I1200+I1202+I1205+I1208+I1209+I1211+I1214+I1217+I1220+I1223+I1226+I1230+I1233+I1235+I1236+I1237+I1238+I1239+I1240+I1241+I1242+I1243+I1245+I1246+I1247+I1248+I1249+I1250+I1251+I1252+I1253+I1254+I1256+I1257+I1258+I1259+I1260+I1262+I1263+I1264+I1265+I1266+I1267+I1268+I1269+I1273+I1270</f>
        <v>2440347.8199999998</v>
      </c>
      <c r="J1274" s="98"/>
      <c r="K1274" s="14"/>
      <c r="L1274" s="14"/>
      <c r="M1274" s="14"/>
    </row>
    <row r="1275" spans="1:13" ht="57" x14ac:dyDescent="0.25">
      <c r="A1275" s="144" t="s">
        <v>1328</v>
      </c>
      <c r="B1275" s="145"/>
      <c r="C1275" s="145"/>
      <c r="D1275" s="147"/>
      <c r="E1275" s="10" t="s">
        <v>17</v>
      </c>
      <c r="F1275" s="10" t="s">
        <v>6</v>
      </c>
      <c r="G1275" s="33">
        <f>G1274</f>
        <v>2192339.1099999994</v>
      </c>
      <c r="H1275" s="33">
        <f>H1274</f>
        <v>2387308.9799999995</v>
      </c>
      <c r="I1275" s="79">
        <f>I1274</f>
        <v>2440347.8199999998</v>
      </c>
      <c r="J1275" s="98"/>
      <c r="K1275" s="14"/>
      <c r="L1275" s="14"/>
      <c r="M1275" s="14"/>
    </row>
    <row r="1276" spans="1:13" ht="15.75" x14ac:dyDescent="0.25">
      <c r="A1276" s="138" t="s">
        <v>513</v>
      </c>
      <c r="B1276" s="139"/>
      <c r="C1276" s="139"/>
      <c r="D1276" s="139"/>
      <c r="E1276" s="139"/>
      <c r="F1276" s="139"/>
      <c r="G1276" s="139"/>
      <c r="H1276" s="139"/>
      <c r="I1276" s="139"/>
      <c r="J1276" s="98"/>
      <c r="K1276" s="14"/>
      <c r="L1276" s="14"/>
      <c r="M1276" s="14"/>
    </row>
    <row r="1277" spans="1:13" ht="95.25" customHeight="1" x14ac:dyDescent="0.25">
      <c r="A1277" s="116" t="s">
        <v>1329</v>
      </c>
      <c r="B1277" s="122" t="s">
        <v>1174</v>
      </c>
      <c r="C1277" s="116" t="s">
        <v>487</v>
      </c>
      <c r="D1277" s="107" t="s">
        <v>1975</v>
      </c>
      <c r="E1277" s="107" t="s">
        <v>1332</v>
      </c>
      <c r="F1277" s="107" t="s">
        <v>80</v>
      </c>
      <c r="G1277" s="322">
        <v>800</v>
      </c>
      <c r="H1277" s="111">
        <v>750</v>
      </c>
      <c r="I1277" s="77">
        <v>818</v>
      </c>
      <c r="J1277" s="98"/>
      <c r="K1277" s="14"/>
      <c r="L1277" s="14"/>
      <c r="M1277" s="14"/>
    </row>
    <row r="1278" spans="1:13" ht="62.25" customHeight="1" x14ac:dyDescent="0.25">
      <c r="A1278" s="117"/>
      <c r="B1278" s="123"/>
      <c r="C1278" s="117"/>
      <c r="D1278" s="107" t="s">
        <v>1333</v>
      </c>
      <c r="E1278" s="107" t="s">
        <v>16</v>
      </c>
      <c r="F1278" s="107" t="s">
        <v>159</v>
      </c>
      <c r="G1278" s="29">
        <v>17857.21</v>
      </c>
      <c r="H1278" s="20">
        <v>17409.23</v>
      </c>
      <c r="I1278" s="76">
        <v>17409.23</v>
      </c>
      <c r="J1278" s="98"/>
      <c r="K1278" s="14"/>
      <c r="L1278" s="14"/>
      <c r="M1278" s="14"/>
    </row>
    <row r="1279" spans="1:13" ht="60" x14ac:dyDescent="0.25">
      <c r="A1279" s="116" t="s">
        <v>1334</v>
      </c>
      <c r="B1279" s="123"/>
      <c r="C1279" s="116" t="s">
        <v>488</v>
      </c>
      <c r="D1279" s="107" t="s">
        <v>1976</v>
      </c>
      <c r="E1279" s="107" t="s">
        <v>489</v>
      </c>
      <c r="F1279" s="107" t="s">
        <v>85</v>
      </c>
      <c r="G1279" s="322">
        <v>16</v>
      </c>
      <c r="H1279" s="111">
        <v>16</v>
      </c>
      <c r="I1279" s="77">
        <v>16</v>
      </c>
      <c r="J1279" s="98"/>
      <c r="K1279" s="14"/>
      <c r="L1279" s="14"/>
      <c r="M1279" s="14"/>
    </row>
    <row r="1280" spans="1:13" ht="58.5" customHeight="1" x14ac:dyDescent="0.25">
      <c r="A1280" s="117"/>
      <c r="B1280" s="123"/>
      <c r="C1280" s="117"/>
      <c r="D1280" s="107" t="s">
        <v>1333</v>
      </c>
      <c r="E1280" s="107" t="s">
        <v>16</v>
      </c>
      <c r="F1280" s="107" t="s">
        <v>159</v>
      </c>
      <c r="G1280" s="29">
        <v>1072.0899999999999</v>
      </c>
      <c r="H1280" s="29">
        <v>1157.02</v>
      </c>
      <c r="I1280" s="323">
        <v>1157.02</v>
      </c>
      <c r="J1280" s="98"/>
      <c r="K1280" s="14"/>
      <c r="L1280" s="14"/>
      <c r="M1280" s="14"/>
    </row>
    <row r="1281" spans="1:13" ht="60" x14ac:dyDescent="0.25">
      <c r="A1281" s="116" t="s">
        <v>1335</v>
      </c>
      <c r="B1281" s="123"/>
      <c r="C1281" s="116" t="s">
        <v>490</v>
      </c>
      <c r="D1281" s="107" t="s">
        <v>1977</v>
      </c>
      <c r="E1281" s="107" t="s">
        <v>491</v>
      </c>
      <c r="F1281" s="107" t="s">
        <v>80</v>
      </c>
      <c r="G1281" s="322">
        <v>118</v>
      </c>
      <c r="H1281" s="111">
        <v>140</v>
      </c>
      <c r="I1281" s="77">
        <v>141</v>
      </c>
      <c r="J1281" s="98"/>
      <c r="K1281" s="14"/>
      <c r="L1281" s="14"/>
      <c r="M1281" s="14"/>
    </row>
    <row r="1282" spans="1:13" ht="60" x14ac:dyDescent="0.25">
      <c r="A1282" s="117"/>
      <c r="B1282" s="123"/>
      <c r="C1282" s="117"/>
      <c r="D1282" s="107" t="s">
        <v>1333</v>
      </c>
      <c r="E1282" s="107" t="s">
        <v>16</v>
      </c>
      <c r="F1282" s="107" t="s">
        <v>159</v>
      </c>
      <c r="G1282" s="29">
        <v>41909.279999999999</v>
      </c>
      <c r="H1282" s="20">
        <v>41933.26</v>
      </c>
      <c r="I1282" s="76">
        <v>41933.26</v>
      </c>
      <c r="J1282" s="98"/>
      <c r="K1282" s="14"/>
      <c r="L1282" s="14"/>
      <c r="M1282" s="14"/>
    </row>
    <row r="1283" spans="1:13" ht="60" x14ac:dyDescent="0.25">
      <c r="A1283" s="116" t="s">
        <v>1336</v>
      </c>
      <c r="B1283" s="123"/>
      <c r="C1283" s="116" t="s">
        <v>492</v>
      </c>
      <c r="D1283" s="107" t="s">
        <v>1978</v>
      </c>
      <c r="E1283" s="107" t="s">
        <v>391</v>
      </c>
      <c r="F1283" s="107" t="s">
        <v>85</v>
      </c>
      <c r="G1283" s="324" t="s">
        <v>493</v>
      </c>
      <c r="H1283" s="4" t="s">
        <v>494</v>
      </c>
      <c r="I1283" s="86" t="s">
        <v>495</v>
      </c>
      <c r="J1283" s="98"/>
      <c r="K1283" s="14"/>
      <c r="L1283" s="14"/>
      <c r="M1283" s="14"/>
    </row>
    <row r="1284" spans="1:13" ht="58.5" customHeight="1" x14ac:dyDescent="0.25">
      <c r="A1284" s="117"/>
      <c r="B1284" s="123"/>
      <c r="C1284" s="117"/>
      <c r="D1284" s="107" t="s">
        <v>1333</v>
      </c>
      <c r="E1284" s="107" t="s">
        <v>16</v>
      </c>
      <c r="F1284" s="107" t="s">
        <v>159</v>
      </c>
      <c r="G1284" s="29">
        <v>613.17999999999995</v>
      </c>
      <c r="H1284" s="20">
        <v>613.17999999999995</v>
      </c>
      <c r="I1284" s="76">
        <v>613.17999999999995</v>
      </c>
      <c r="J1284" s="98"/>
      <c r="K1284" s="14"/>
      <c r="L1284" s="14"/>
      <c r="M1284" s="14"/>
    </row>
    <row r="1285" spans="1:13" ht="75" x14ac:dyDescent="0.25">
      <c r="A1285" s="116" t="s">
        <v>1339</v>
      </c>
      <c r="B1285" s="123"/>
      <c r="C1285" s="130" t="s">
        <v>1337</v>
      </c>
      <c r="D1285" s="107" t="s">
        <v>1979</v>
      </c>
      <c r="E1285" s="107" t="s">
        <v>1338</v>
      </c>
      <c r="F1285" s="107" t="s">
        <v>80</v>
      </c>
      <c r="G1285" s="325">
        <v>228</v>
      </c>
      <c r="H1285" s="18">
        <v>230</v>
      </c>
      <c r="I1285" s="88">
        <v>230</v>
      </c>
      <c r="J1285" s="98"/>
      <c r="K1285" s="14"/>
      <c r="L1285" s="14"/>
      <c r="M1285" s="14"/>
    </row>
    <row r="1286" spans="1:13" ht="60" x14ac:dyDescent="0.25">
      <c r="A1286" s="117"/>
      <c r="B1286" s="123"/>
      <c r="C1286" s="130"/>
      <c r="D1286" s="107" t="s">
        <v>1333</v>
      </c>
      <c r="E1286" s="107" t="s">
        <v>16</v>
      </c>
      <c r="F1286" s="107" t="s">
        <v>159</v>
      </c>
      <c r="G1286" s="29">
        <v>3186.93</v>
      </c>
      <c r="H1286" s="20">
        <v>3746.48</v>
      </c>
      <c r="I1286" s="76">
        <v>3746.48</v>
      </c>
      <c r="J1286" s="98"/>
      <c r="K1286" s="14"/>
      <c r="L1286" s="14"/>
      <c r="M1286" s="14"/>
    </row>
    <row r="1287" spans="1:13" ht="90" x14ac:dyDescent="0.25">
      <c r="A1287" s="116" t="s">
        <v>1342</v>
      </c>
      <c r="B1287" s="123"/>
      <c r="C1287" s="130" t="s">
        <v>1337</v>
      </c>
      <c r="D1287" s="107" t="s">
        <v>1980</v>
      </c>
      <c r="E1287" s="107" t="s">
        <v>1341</v>
      </c>
      <c r="F1287" s="107" t="s">
        <v>80</v>
      </c>
      <c r="G1287" s="258">
        <v>72</v>
      </c>
      <c r="H1287" s="326">
        <v>57</v>
      </c>
      <c r="I1287" s="73">
        <v>57</v>
      </c>
      <c r="J1287" s="98"/>
      <c r="K1287" s="14"/>
      <c r="L1287" s="14"/>
      <c r="M1287" s="14"/>
    </row>
    <row r="1288" spans="1:13" ht="60" x14ac:dyDescent="0.25">
      <c r="A1288" s="117"/>
      <c r="B1288" s="123"/>
      <c r="C1288" s="130"/>
      <c r="D1288" s="107" t="s">
        <v>1340</v>
      </c>
      <c r="E1288" s="107" t="s">
        <v>16</v>
      </c>
      <c r="F1288" s="107" t="s">
        <v>159</v>
      </c>
      <c r="G1288" s="29">
        <v>6464.76</v>
      </c>
      <c r="H1288" s="20">
        <v>5964.21</v>
      </c>
      <c r="I1288" s="76">
        <v>5964.21</v>
      </c>
      <c r="J1288" s="98"/>
      <c r="K1288" s="14"/>
      <c r="L1288" s="14"/>
      <c r="M1288" s="14"/>
    </row>
    <row r="1289" spans="1:13" ht="90" x14ac:dyDescent="0.25">
      <c r="A1289" s="116" t="s">
        <v>1344</v>
      </c>
      <c r="B1289" s="123"/>
      <c r="C1289" s="130" t="s">
        <v>1337</v>
      </c>
      <c r="D1289" s="107" t="s">
        <v>1981</v>
      </c>
      <c r="E1289" s="107" t="s">
        <v>1343</v>
      </c>
      <c r="F1289" s="107" t="s">
        <v>80</v>
      </c>
      <c r="G1289" s="258">
        <v>11</v>
      </c>
      <c r="H1289" s="326">
        <v>13</v>
      </c>
      <c r="I1289" s="73">
        <v>13</v>
      </c>
      <c r="J1289" s="98"/>
      <c r="K1289" s="14"/>
      <c r="L1289" s="14"/>
      <c r="M1289" s="14"/>
    </row>
    <row r="1290" spans="1:13" ht="60" x14ac:dyDescent="0.25">
      <c r="A1290" s="117"/>
      <c r="B1290" s="123"/>
      <c r="C1290" s="130"/>
      <c r="D1290" s="107" t="s">
        <v>1333</v>
      </c>
      <c r="E1290" s="107" t="s">
        <v>16</v>
      </c>
      <c r="F1290" s="107" t="s">
        <v>486</v>
      </c>
      <c r="G1290" s="29">
        <v>2808.56</v>
      </c>
      <c r="H1290" s="20">
        <v>3868.06</v>
      </c>
      <c r="I1290" s="76">
        <v>3868.06</v>
      </c>
      <c r="J1290" s="98"/>
      <c r="K1290" s="14"/>
      <c r="L1290" s="14"/>
      <c r="M1290" s="14"/>
    </row>
    <row r="1291" spans="1:13" ht="90" x14ac:dyDescent="0.25">
      <c r="A1291" s="116" t="s">
        <v>1346</v>
      </c>
      <c r="B1291" s="123"/>
      <c r="C1291" s="116" t="s">
        <v>1337</v>
      </c>
      <c r="D1291" s="107" t="s">
        <v>1982</v>
      </c>
      <c r="E1291" s="107" t="s">
        <v>1345</v>
      </c>
      <c r="F1291" s="107" t="s">
        <v>80</v>
      </c>
      <c r="G1291" s="325">
        <v>5</v>
      </c>
      <c r="H1291" s="18">
        <v>5</v>
      </c>
      <c r="I1291" s="88">
        <v>5</v>
      </c>
      <c r="J1291" s="98"/>
      <c r="K1291" s="14"/>
      <c r="L1291" s="14"/>
      <c r="M1291" s="14"/>
    </row>
    <row r="1292" spans="1:13" ht="48.75" customHeight="1" x14ac:dyDescent="0.25">
      <c r="A1292" s="118"/>
      <c r="B1292" s="123"/>
      <c r="C1292" s="118"/>
      <c r="D1292" s="107" t="s">
        <v>1333</v>
      </c>
      <c r="E1292" s="116" t="s">
        <v>16</v>
      </c>
      <c r="F1292" s="116" t="s">
        <v>159</v>
      </c>
      <c r="G1292" s="29">
        <v>1157.1300000000001</v>
      </c>
      <c r="H1292" s="29">
        <v>1348.47</v>
      </c>
      <c r="I1292" s="323">
        <v>1348.47</v>
      </c>
      <c r="J1292" s="98"/>
      <c r="K1292" s="14"/>
      <c r="L1292" s="14"/>
      <c r="M1292" s="14"/>
    </row>
    <row r="1293" spans="1:13" x14ac:dyDescent="0.25">
      <c r="A1293" s="117"/>
      <c r="B1293" s="123"/>
      <c r="C1293" s="117"/>
      <c r="D1293" s="107" t="s">
        <v>1347</v>
      </c>
      <c r="E1293" s="117"/>
      <c r="F1293" s="117"/>
      <c r="G1293" s="29">
        <v>1284.8</v>
      </c>
      <c r="H1293" s="29">
        <v>413.9</v>
      </c>
      <c r="I1293" s="323">
        <v>413.9</v>
      </c>
      <c r="J1293" s="98"/>
      <c r="K1293" s="14"/>
      <c r="L1293" s="14"/>
      <c r="M1293" s="14"/>
    </row>
    <row r="1294" spans="1:13" ht="75" x14ac:dyDescent="0.25">
      <c r="A1294" s="116" t="s">
        <v>1349</v>
      </c>
      <c r="B1294" s="123"/>
      <c r="C1294" s="130" t="s">
        <v>1337</v>
      </c>
      <c r="D1294" s="107" t="s">
        <v>1983</v>
      </c>
      <c r="E1294" s="107" t="s">
        <v>1348</v>
      </c>
      <c r="F1294" s="107" t="s">
        <v>80</v>
      </c>
      <c r="G1294" s="325">
        <v>142</v>
      </c>
      <c r="H1294" s="18">
        <v>145</v>
      </c>
      <c r="I1294" s="88">
        <v>145</v>
      </c>
      <c r="J1294" s="98"/>
      <c r="K1294" s="14"/>
      <c r="L1294" s="14"/>
      <c r="M1294" s="14"/>
    </row>
    <row r="1295" spans="1:13" ht="60" x14ac:dyDescent="0.25">
      <c r="A1295" s="117"/>
      <c r="B1295" s="123"/>
      <c r="C1295" s="130"/>
      <c r="D1295" s="107" t="s">
        <v>1340</v>
      </c>
      <c r="E1295" s="107" t="s">
        <v>16</v>
      </c>
      <c r="F1295" s="107" t="s">
        <v>159</v>
      </c>
      <c r="G1295" s="29">
        <v>1311.22</v>
      </c>
      <c r="H1295" s="29">
        <v>1560.32</v>
      </c>
      <c r="I1295" s="323">
        <v>1560.32</v>
      </c>
      <c r="J1295" s="98"/>
      <c r="K1295" s="14"/>
      <c r="L1295" s="14"/>
      <c r="M1295" s="14"/>
    </row>
    <row r="1296" spans="1:13" ht="77.25" customHeight="1" x14ac:dyDescent="0.25">
      <c r="A1296" s="116" t="s">
        <v>1351</v>
      </c>
      <c r="B1296" s="123"/>
      <c r="C1296" s="130" t="s">
        <v>1337</v>
      </c>
      <c r="D1296" s="107" t="s">
        <v>1984</v>
      </c>
      <c r="E1296" s="107" t="s">
        <v>1350</v>
      </c>
      <c r="F1296" s="107" t="s">
        <v>80</v>
      </c>
      <c r="G1296" s="325">
        <v>47</v>
      </c>
      <c r="H1296" s="18">
        <v>42</v>
      </c>
      <c r="I1296" s="88">
        <v>42</v>
      </c>
      <c r="J1296" s="98"/>
      <c r="K1296" s="14"/>
      <c r="L1296" s="14"/>
      <c r="M1296" s="14"/>
    </row>
    <row r="1297" spans="1:13" ht="60" x14ac:dyDescent="0.25">
      <c r="A1297" s="117"/>
      <c r="B1297" s="123"/>
      <c r="C1297" s="130"/>
      <c r="D1297" s="107" t="s">
        <v>1333</v>
      </c>
      <c r="E1297" s="107" t="s">
        <v>16</v>
      </c>
      <c r="F1297" s="107" t="s">
        <v>159</v>
      </c>
      <c r="G1297" s="327">
        <v>4028.89</v>
      </c>
      <c r="H1297" s="328">
        <v>4195.6000000000004</v>
      </c>
      <c r="I1297" s="329">
        <v>4195.6000000000004</v>
      </c>
      <c r="J1297" s="98"/>
      <c r="K1297" s="14"/>
      <c r="L1297" s="14"/>
      <c r="M1297" s="14"/>
    </row>
    <row r="1298" spans="1:13" ht="75" x14ac:dyDescent="0.25">
      <c r="A1298" s="116" t="s">
        <v>1353</v>
      </c>
      <c r="B1298" s="123"/>
      <c r="C1298" s="116" t="s">
        <v>1337</v>
      </c>
      <c r="D1298" s="107" t="s">
        <v>1985</v>
      </c>
      <c r="E1298" s="107" t="s">
        <v>1352</v>
      </c>
      <c r="F1298" s="107" t="s">
        <v>80</v>
      </c>
      <c r="G1298" s="325">
        <v>182</v>
      </c>
      <c r="H1298" s="18">
        <v>232</v>
      </c>
      <c r="I1298" s="88">
        <v>232</v>
      </c>
      <c r="J1298" s="98"/>
      <c r="K1298" s="14"/>
      <c r="L1298" s="14"/>
      <c r="M1298" s="14"/>
    </row>
    <row r="1299" spans="1:13" ht="60" x14ac:dyDescent="0.25">
      <c r="A1299" s="117"/>
      <c r="B1299" s="123"/>
      <c r="C1299" s="117"/>
      <c r="D1299" s="107" t="s">
        <v>1333</v>
      </c>
      <c r="E1299" s="107" t="s">
        <v>16</v>
      </c>
      <c r="F1299" s="107" t="s">
        <v>159</v>
      </c>
      <c r="G1299" s="327">
        <v>1829.39</v>
      </c>
      <c r="H1299" s="327">
        <v>2717.57</v>
      </c>
      <c r="I1299" s="330">
        <v>2717.57</v>
      </c>
      <c r="J1299" s="98"/>
      <c r="K1299" s="14"/>
      <c r="L1299" s="14"/>
      <c r="M1299" s="14"/>
    </row>
    <row r="1300" spans="1:13" ht="76.5" customHeight="1" x14ac:dyDescent="0.25">
      <c r="A1300" s="116" t="s">
        <v>1354</v>
      </c>
      <c r="B1300" s="123"/>
      <c r="C1300" s="116" t="s">
        <v>1337</v>
      </c>
      <c r="D1300" s="107" t="s">
        <v>1986</v>
      </c>
      <c r="E1300" s="107" t="s">
        <v>1355</v>
      </c>
      <c r="F1300" s="107" t="s">
        <v>80</v>
      </c>
      <c r="G1300" s="325">
        <v>96</v>
      </c>
      <c r="H1300" s="18">
        <v>72</v>
      </c>
      <c r="I1300" s="88">
        <v>72</v>
      </c>
      <c r="J1300" s="98"/>
      <c r="K1300" s="14"/>
      <c r="L1300" s="14"/>
      <c r="M1300" s="14"/>
    </row>
    <row r="1301" spans="1:13" ht="60" x14ac:dyDescent="0.25">
      <c r="A1301" s="117"/>
      <c r="B1301" s="123"/>
      <c r="C1301" s="117"/>
      <c r="D1301" s="107" t="s">
        <v>1333</v>
      </c>
      <c r="E1301" s="107" t="s">
        <v>16</v>
      </c>
      <c r="F1301" s="107" t="s">
        <v>159</v>
      </c>
      <c r="G1301" s="29">
        <v>8554.42</v>
      </c>
      <c r="H1301" s="20">
        <v>7476.69</v>
      </c>
      <c r="I1301" s="76">
        <v>7476.69</v>
      </c>
      <c r="J1301" s="98"/>
      <c r="K1301" s="14"/>
      <c r="L1301" s="14"/>
      <c r="M1301" s="14"/>
    </row>
    <row r="1302" spans="1:13" ht="76.5" customHeight="1" x14ac:dyDescent="0.25">
      <c r="A1302" s="116" t="s">
        <v>1357</v>
      </c>
      <c r="B1302" s="123"/>
      <c r="C1302" s="116" t="s">
        <v>1337</v>
      </c>
      <c r="D1302" s="107" t="s">
        <v>1987</v>
      </c>
      <c r="E1302" s="107" t="s">
        <v>1356</v>
      </c>
      <c r="F1302" s="107" t="s">
        <v>80</v>
      </c>
      <c r="G1302" s="322">
        <v>0</v>
      </c>
      <c r="H1302" s="326">
        <v>4</v>
      </c>
      <c r="I1302" s="73">
        <v>4</v>
      </c>
      <c r="J1302" s="98"/>
      <c r="K1302" s="14"/>
      <c r="L1302" s="14"/>
      <c r="M1302" s="14"/>
    </row>
    <row r="1303" spans="1:13" ht="60" x14ac:dyDescent="0.25">
      <c r="A1303" s="117"/>
      <c r="B1303" s="123"/>
      <c r="C1303" s="117"/>
      <c r="D1303" s="107" t="s">
        <v>1340</v>
      </c>
      <c r="E1303" s="107" t="s">
        <v>16</v>
      </c>
      <c r="F1303" s="107" t="s">
        <v>159</v>
      </c>
      <c r="G1303" s="20">
        <v>0</v>
      </c>
      <c r="H1303" s="20">
        <v>921.39</v>
      </c>
      <c r="I1303" s="76">
        <v>921.39</v>
      </c>
      <c r="J1303" s="98"/>
      <c r="K1303" s="14"/>
      <c r="L1303" s="14"/>
      <c r="M1303" s="14"/>
    </row>
    <row r="1304" spans="1:13" ht="75" x14ac:dyDescent="0.25">
      <c r="A1304" s="116" t="s">
        <v>1358</v>
      </c>
      <c r="B1304" s="123"/>
      <c r="C1304" s="116" t="s">
        <v>1337</v>
      </c>
      <c r="D1304" s="107" t="s">
        <v>1988</v>
      </c>
      <c r="E1304" s="107" t="s">
        <v>1359</v>
      </c>
      <c r="F1304" s="107" t="s">
        <v>80</v>
      </c>
      <c r="G1304" s="325">
        <v>1</v>
      </c>
      <c r="H1304" s="18">
        <v>1</v>
      </c>
      <c r="I1304" s="88">
        <v>1</v>
      </c>
      <c r="J1304" s="98"/>
      <c r="K1304" s="14"/>
      <c r="L1304" s="14"/>
      <c r="M1304" s="14"/>
    </row>
    <row r="1305" spans="1:13" ht="60" x14ac:dyDescent="0.25">
      <c r="A1305" s="117"/>
      <c r="B1305" s="123"/>
      <c r="C1305" s="117"/>
      <c r="D1305" s="107" t="s">
        <v>1363</v>
      </c>
      <c r="E1305" s="107" t="s">
        <v>16</v>
      </c>
      <c r="F1305" s="107" t="s">
        <v>159</v>
      </c>
      <c r="G1305" s="29">
        <v>1731.3</v>
      </c>
      <c r="H1305" s="20">
        <v>595.4</v>
      </c>
      <c r="I1305" s="76">
        <v>595.4</v>
      </c>
      <c r="J1305" s="98"/>
      <c r="K1305" s="14"/>
      <c r="L1305" s="14"/>
      <c r="M1305" s="14"/>
    </row>
    <row r="1306" spans="1:13" ht="75" x14ac:dyDescent="0.25">
      <c r="A1306" s="116" t="s">
        <v>1361</v>
      </c>
      <c r="B1306" s="123"/>
      <c r="C1306" s="116" t="s">
        <v>1337</v>
      </c>
      <c r="D1306" s="107" t="s">
        <v>1989</v>
      </c>
      <c r="E1306" s="107" t="s">
        <v>1360</v>
      </c>
      <c r="F1306" s="107" t="s">
        <v>80</v>
      </c>
      <c r="G1306" s="325">
        <v>132</v>
      </c>
      <c r="H1306" s="18">
        <v>86</v>
      </c>
      <c r="I1306" s="88">
        <v>86</v>
      </c>
      <c r="J1306" s="98"/>
      <c r="K1306" s="14"/>
      <c r="L1306" s="14"/>
      <c r="M1306" s="14"/>
    </row>
    <row r="1307" spans="1:13" ht="60" x14ac:dyDescent="0.25">
      <c r="A1307" s="117"/>
      <c r="B1307" s="123"/>
      <c r="C1307" s="117"/>
      <c r="D1307" s="107" t="s">
        <v>1333</v>
      </c>
      <c r="E1307" s="107" t="s">
        <v>16</v>
      </c>
      <c r="F1307" s="107" t="s">
        <v>159</v>
      </c>
      <c r="G1307" s="29">
        <v>1757.51</v>
      </c>
      <c r="H1307" s="29">
        <v>1334.38</v>
      </c>
      <c r="I1307" s="323">
        <v>1334.38</v>
      </c>
      <c r="J1307" s="98"/>
      <c r="K1307" s="14"/>
      <c r="L1307" s="14"/>
      <c r="M1307" s="14"/>
    </row>
    <row r="1308" spans="1:13" ht="90" x14ac:dyDescent="0.25">
      <c r="A1308" s="116" t="s">
        <v>1364</v>
      </c>
      <c r="B1308" s="123"/>
      <c r="C1308" s="116" t="s">
        <v>1337</v>
      </c>
      <c r="D1308" s="107" t="s">
        <v>1990</v>
      </c>
      <c r="E1308" s="107" t="s">
        <v>1362</v>
      </c>
      <c r="F1308" s="107" t="s">
        <v>80</v>
      </c>
      <c r="G1308" s="325">
        <v>38</v>
      </c>
      <c r="H1308" s="18">
        <v>50</v>
      </c>
      <c r="I1308" s="88">
        <v>50</v>
      </c>
      <c r="J1308" s="98"/>
      <c r="K1308" s="14"/>
      <c r="L1308" s="14"/>
      <c r="M1308" s="14"/>
    </row>
    <row r="1309" spans="1:13" ht="60" x14ac:dyDescent="0.25">
      <c r="A1309" s="117"/>
      <c r="B1309" s="123"/>
      <c r="C1309" s="117"/>
      <c r="D1309" s="107" t="s">
        <v>1333</v>
      </c>
      <c r="E1309" s="107" t="s">
        <v>16</v>
      </c>
      <c r="F1309" s="107" t="s">
        <v>159</v>
      </c>
      <c r="G1309" s="29">
        <v>3779.11</v>
      </c>
      <c r="H1309" s="29">
        <v>5794.74</v>
      </c>
      <c r="I1309" s="323">
        <v>5794.74</v>
      </c>
      <c r="J1309" s="98"/>
      <c r="K1309" s="14"/>
      <c r="L1309" s="14"/>
      <c r="M1309" s="14"/>
    </row>
    <row r="1310" spans="1:13" ht="90" x14ac:dyDescent="0.25">
      <c r="A1310" s="116" t="s">
        <v>1365</v>
      </c>
      <c r="B1310" s="123"/>
      <c r="C1310" s="116" t="s">
        <v>1337</v>
      </c>
      <c r="D1310" s="107" t="s">
        <v>1991</v>
      </c>
      <c r="E1310" s="107" t="s">
        <v>1366</v>
      </c>
      <c r="F1310" s="107" t="s">
        <v>80</v>
      </c>
      <c r="G1310" s="325">
        <v>6</v>
      </c>
      <c r="H1310" s="18">
        <v>8</v>
      </c>
      <c r="I1310" s="88">
        <v>8</v>
      </c>
      <c r="J1310" s="98"/>
      <c r="K1310" s="14"/>
      <c r="L1310" s="14"/>
      <c r="M1310" s="14"/>
    </row>
    <row r="1311" spans="1:13" ht="60" x14ac:dyDescent="0.25">
      <c r="A1311" s="117"/>
      <c r="B1311" s="123"/>
      <c r="C1311" s="117"/>
      <c r="D1311" s="107" t="s">
        <v>1333</v>
      </c>
      <c r="E1311" s="107" t="s">
        <v>16</v>
      </c>
      <c r="F1311" s="107" t="s">
        <v>159</v>
      </c>
      <c r="G1311" s="29">
        <v>1297.24</v>
      </c>
      <c r="H1311" s="20">
        <v>2015.66</v>
      </c>
      <c r="I1311" s="76">
        <v>2015.66</v>
      </c>
      <c r="J1311" s="98"/>
      <c r="K1311" s="14"/>
      <c r="L1311" s="14"/>
      <c r="M1311" s="14"/>
    </row>
    <row r="1312" spans="1:13" ht="75" x14ac:dyDescent="0.25">
      <c r="A1312" s="116" t="s">
        <v>1369</v>
      </c>
      <c r="B1312" s="123"/>
      <c r="C1312" s="116" t="s">
        <v>1337</v>
      </c>
      <c r="D1312" s="107" t="s">
        <v>1992</v>
      </c>
      <c r="E1312" s="107" t="s">
        <v>1367</v>
      </c>
      <c r="F1312" s="107" t="s">
        <v>80</v>
      </c>
      <c r="G1312" s="325">
        <v>35</v>
      </c>
      <c r="H1312" s="18">
        <v>49</v>
      </c>
      <c r="I1312" s="88">
        <v>49</v>
      </c>
      <c r="J1312" s="98"/>
      <c r="K1312" s="14"/>
      <c r="L1312" s="14"/>
      <c r="M1312" s="14"/>
    </row>
    <row r="1313" spans="1:13" ht="60" x14ac:dyDescent="0.25">
      <c r="A1313" s="117"/>
      <c r="B1313" s="123"/>
      <c r="C1313" s="117"/>
      <c r="D1313" s="107" t="s">
        <v>1333</v>
      </c>
      <c r="E1313" s="107" t="s">
        <v>16</v>
      </c>
      <c r="F1313" s="107" t="s">
        <v>159</v>
      </c>
      <c r="G1313" s="29">
        <v>333.78</v>
      </c>
      <c r="H1313" s="20">
        <v>544.55999999999995</v>
      </c>
      <c r="I1313" s="76">
        <v>544.55999999999995</v>
      </c>
      <c r="J1313" s="98"/>
      <c r="K1313" s="14"/>
      <c r="L1313" s="14"/>
      <c r="M1313" s="14"/>
    </row>
    <row r="1314" spans="1:13" ht="90" x14ac:dyDescent="0.25">
      <c r="A1314" s="116" t="s">
        <v>1370</v>
      </c>
      <c r="B1314" s="123"/>
      <c r="C1314" s="116" t="s">
        <v>1337</v>
      </c>
      <c r="D1314" s="107" t="s">
        <v>1993</v>
      </c>
      <c r="E1314" s="107" t="s">
        <v>1368</v>
      </c>
      <c r="F1314" s="107" t="s">
        <v>80</v>
      </c>
      <c r="G1314" s="325">
        <v>109</v>
      </c>
      <c r="H1314" s="18">
        <v>94</v>
      </c>
      <c r="I1314" s="88">
        <v>94</v>
      </c>
      <c r="J1314" s="98"/>
      <c r="K1314" s="14"/>
      <c r="L1314" s="14"/>
      <c r="M1314" s="14"/>
    </row>
    <row r="1315" spans="1:13" ht="60" x14ac:dyDescent="0.25">
      <c r="A1315" s="117"/>
      <c r="B1315" s="123"/>
      <c r="C1315" s="117"/>
      <c r="D1315" s="107" t="s">
        <v>1340</v>
      </c>
      <c r="E1315" s="107" t="s">
        <v>16</v>
      </c>
      <c r="F1315" s="107" t="s">
        <v>159</v>
      </c>
      <c r="G1315" s="29">
        <v>9749.92</v>
      </c>
      <c r="H1315" s="20">
        <v>8956.4500000000007</v>
      </c>
      <c r="I1315" s="76">
        <v>8880.8799999999992</v>
      </c>
      <c r="J1315" s="98"/>
      <c r="K1315" s="14"/>
      <c r="L1315" s="14"/>
      <c r="M1315" s="14"/>
    </row>
    <row r="1316" spans="1:13" ht="75" x14ac:dyDescent="0.25">
      <c r="A1316" s="116" t="s">
        <v>1371</v>
      </c>
      <c r="B1316" s="123"/>
      <c r="C1316" s="116" t="s">
        <v>1337</v>
      </c>
      <c r="D1316" s="107" t="s">
        <v>1994</v>
      </c>
      <c r="E1316" s="107" t="s">
        <v>1372</v>
      </c>
      <c r="F1316" s="107" t="s">
        <v>80</v>
      </c>
      <c r="G1316" s="325">
        <v>263</v>
      </c>
      <c r="H1316" s="18">
        <v>285</v>
      </c>
      <c r="I1316" s="88">
        <v>285</v>
      </c>
      <c r="J1316" s="98"/>
      <c r="K1316" s="14"/>
      <c r="L1316" s="14"/>
      <c r="M1316" s="14"/>
    </row>
    <row r="1317" spans="1:13" ht="60" x14ac:dyDescent="0.25">
      <c r="A1317" s="117"/>
      <c r="B1317" s="123"/>
      <c r="C1317" s="117"/>
      <c r="D1317" s="107" t="s">
        <v>1333</v>
      </c>
      <c r="E1317" s="107" t="s">
        <v>16</v>
      </c>
      <c r="F1317" s="107" t="s">
        <v>159</v>
      </c>
      <c r="G1317" s="29">
        <v>2525.62</v>
      </c>
      <c r="H1317" s="20">
        <v>3189.44</v>
      </c>
      <c r="I1317" s="76">
        <v>3189.44</v>
      </c>
      <c r="J1317" s="98"/>
      <c r="K1317" s="14"/>
      <c r="L1317" s="14"/>
      <c r="M1317" s="14"/>
    </row>
    <row r="1318" spans="1:13" ht="75" x14ac:dyDescent="0.25">
      <c r="A1318" s="116" t="s">
        <v>1373</v>
      </c>
      <c r="B1318" s="123"/>
      <c r="C1318" s="116" t="s">
        <v>1172</v>
      </c>
      <c r="D1318" s="107" t="s">
        <v>1994</v>
      </c>
      <c r="E1318" s="107" t="s">
        <v>1186</v>
      </c>
      <c r="F1318" s="107" t="s">
        <v>80</v>
      </c>
      <c r="G1318" s="324" t="s">
        <v>178</v>
      </c>
      <c r="H1318" s="4" t="s">
        <v>178</v>
      </c>
      <c r="I1318" s="86" t="s">
        <v>178</v>
      </c>
      <c r="J1318" s="98"/>
      <c r="K1318" s="14"/>
      <c r="L1318" s="14"/>
      <c r="M1318" s="14"/>
    </row>
    <row r="1319" spans="1:13" ht="60" x14ac:dyDescent="0.25">
      <c r="A1319" s="117"/>
      <c r="B1319" s="123"/>
      <c r="C1319" s="117"/>
      <c r="D1319" s="107" t="s">
        <v>1333</v>
      </c>
      <c r="E1319" s="107" t="s">
        <v>16</v>
      </c>
      <c r="F1319" s="107" t="s">
        <v>159</v>
      </c>
      <c r="G1319" s="29">
        <v>433.3</v>
      </c>
      <c r="H1319" s="20">
        <f>555.3-158.41</f>
        <v>396.89</v>
      </c>
      <c r="I1319" s="76">
        <v>396.89</v>
      </c>
      <c r="J1319" s="98"/>
      <c r="K1319" s="14"/>
      <c r="L1319" s="14"/>
      <c r="M1319" s="14"/>
    </row>
    <row r="1320" spans="1:13" ht="90" x14ac:dyDescent="0.25">
      <c r="A1320" s="116" t="s">
        <v>1374</v>
      </c>
      <c r="B1320" s="123"/>
      <c r="C1320" s="116" t="s">
        <v>1337</v>
      </c>
      <c r="D1320" s="107" t="s">
        <v>1995</v>
      </c>
      <c r="E1320" s="107" t="s">
        <v>1375</v>
      </c>
      <c r="F1320" s="107" t="s">
        <v>80</v>
      </c>
      <c r="G1320" s="325">
        <v>124</v>
      </c>
      <c r="H1320" s="18">
        <v>116</v>
      </c>
      <c r="I1320" s="88">
        <v>116</v>
      </c>
      <c r="J1320" s="98"/>
      <c r="K1320" s="14"/>
      <c r="L1320" s="14"/>
      <c r="M1320" s="14"/>
    </row>
    <row r="1321" spans="1:13" ht="60" x14ac:dyDescent="0.25">
      <c r="A1321" s="117"/>
      <c r="B1321" s="123"/>
      <c r="C1321" s="117"/>
      <c r="D1321" s="107" t="s">
        <v>1333</v>
      </c>
      <c r="E1321" s="107" t="s">
        <v>16</v>
      </c>
      <c r="F1321" s="107" t="s">
        <v>486</v>
      </c>
      <c r="G1321" s="29">
        <v>11333.3</v>
      </c>
      <c r="H1321" s="20">
        <v>12205.3</v>
      </c>
      <c r="I1321" s="76">
        <v>12205.3</v>
      </c>
      <c r="J1321" s="98"/>
      <c r="K1321" s="14"/>
      <c r="L1321" s="14"/>
      <c r="M1321" s="14"/>
    </row>
    <row r="1322" spans="1:13" ht="90" x14ac:dyDescent="0.25">
      <c r="A1322" s="116" t="s">
        <v>1376</v>
      </c>
      <c r="B1322" s="123"/>
      <c r="C1322" s="116" t="s">
        <v>1337</v>
      </c>
      <c r="D1322" s="107" t="s">
        <v>1996</v>
      </c>
      <c r="E1322" s="107" t="s">
        <v>1378</v>
      </c>
      <c r="F1322" s="107" t="s">
        <v>80</v>
      </c>
      <c r="G1322" s="325">
        <v>45</v>
      </c>
      <c r="H1322" s="18">
        <v>39</v>
      </c>
      <c r="I1322" s="88">
        <v>39</v>
      </c>
      <c r="J1322" s="98"/>
      <c r="K1322" s="14"/>
      <c r="L1322" s="14"/>
      <c r="M1322" s="14"/>
    </row>
    <row r="1323" spans="1:13" ht="60" x14ac:dyDescent="0.25">
      <c r="A1323" s="117"/>
      <c r="B1323" s="123"/>
      <c r="C1323" s="117"/>
      <c r="D1323" s="107" t="s">
        <v>1333</v>
      </c>
      <c r="E1323" s="107" t="s">
        <v>16</v>
      </c>
      <c r="F1323" s="107" t="s">
        <v>486</v>
      </c>
      <c r="G1323" s="29">
        <v>9653.2999999999993</v>
      </c>
      <c r="H1323" s="20">
        <v>8143.4</v>
      </c>
      <c r="I1323" s="76">
        <v>8143.4</v>
      </c>
      <c r="J1323" s="98"/>
      <c r="K1323" s="14"/>
      <c r="L1323" s="14"/>
      <c r="M1323" s="14"/>
    </row>
    <row r="1324" spans="1:13" ht="75" x14ac:dyDescent="0.25">
      <c r="A1324" s="116" t="s">
        <v>1377</v>
      </c>
      <c r="B1324" s="123"/>
      <c r="C1324" s="116" t="s">
        <v>1337</v>
      </c>
      <c r="D1324" s="107" t="s">
        <v>1997</v>
      </c>
      <c r="E1324" s="107" t="s">
        <v>1381</v>
      </c>
      <c r="F1324" s="107" t="s">
        <v>80</v>
      </c>
      <c r="G1324" s="258">
        <v>31</v>
      </c>
      <c r="H1324" s="326">
        <v>34</v>
      </c>
      <c r="I1324" s="331">
        <v>34</v>
      </c>
      <c r="J1324" s="98"/>
      <c r="K1324" s="14"/>
      <c r="L1324" s="14"/>
      <c r="M1324" s="14"/>
    </row>
    <row r="1325" spans="1:13" ht="60" x14ac:dyDescent="0.25">
      <c r="A1325" s="117"/>
      <c r="B1325" s="123"/>
      <c r="C1325" s="117"/>
      <c r="D1325" s="107" t="s">
        <v>1333</v>
      </c>
      <c r="E1325" s="107" t="s">
        <v>16</v>
      </c>
      <c r="F1325" s="107" t="s">
        <v>159</v>
      </c>
      <c r="G1325" s="29">
        <v>5896.42</v>
      </c>
      <c r="H1325" s="20">
        <v>7536.4</v>
      </c>
      <c r="I1325" s="76">
        <v>7536.4</v>
      </c>
      <c r="J1325" s="98"/>
      <c r="K1325" s="14"/>
      <c r="L1325" s="14"/>
      <c r="M1325" s="14"/>
    </row>
    <row r="1326" spans="1:13" ht="89.25" customHeight="1" x14ac:dyDescent="0.25">
      <c r="A1326" s="116" t="s">
        <v>1379</v>
      </c>
      <c r="B1326" s="123"/>
      <c r="C1326" s="116" t="s">
        <v>1172</v>
      </c>
      <c r="D1326" s="107" t="s">
        <v>1997</v>
      </c>
      <c r="E1326" s="107" t="s">
        <v>1189</v>
      </c>
      <c r="F1326" s="107" t="s">
        <v>80</v>
      </c>
      <c r="G1326" s="324" t="s">
        <v>7</v>
      </c>
      <c r="H1326" s="4" t="s">
        <v>7</v>
      </c>
      <c r="I1326" s="86" t="s">
        <v>7</v>
      </c>
      <c r="J1326" s="98"/>
      <c r="K1326" s="14"/>
      <c r="L1326" s="14"/>
      <c r="M1326" s="14"/>
    </row>
    <row r="1327" spans="1:13" ht="60" x14ac:dyDescent="0.25">
      <c r="A1327" s="117"/>
      <c r="B1327" s="123"/>
      <c r="C1327" s="117"/>
      <c r="D1327" s="107" t="s">
        <v>1333</v>
      </c>
      <c r="E1327" s="107" t="s">
        <v>16</v>
      </c>
      <c r="F1327" s="107" t="s">
        <v>486</v>
      </c>
      <c r="G1327" s="29">
        <v>195</v>
      </c>
      <c r="H1327" s="20">
        <f>250-71.31</f>
        <v>178.69</v>
      </c>
      <c r="I1327" s="76">
        <v>178.69</v>
      </c>
      <c r="J1327" s="98"/>
      <c r="K1327" s="14"/>
      <c r="L1327" s="14"/>
      <c r="M1327" s="14"/>
    </row>
    <row r="1328" spans="1:13" ht="75" x14ac:dyDescent="0.25">
      <c r="A1328" s="116" t="s">
        <v>1380</v>
      </c>
      <c r="B1328" s="123"/>
      <c r="C1328" s="116" t="s">
        <v>1172</v>
      </c>
      <c r="D1328" s="107" t="s">
        <v>1997</v>
      </c>
      <c r="E1328" s="107" t="s">
        <v>1189</v>
      </c>
      <c r="F1328" s="107" t="s">
        <v>80</v>
      </c>
      <c r="G1328" s="325">
        <v>6</v>
      </c>
      <c r="H1328" s="18">
        <v>6</v>
      </c>
      <c r="I1328" s="88">
        <v>6</v>
      </c>
      <c r="J1328" s="98"/>
      <c r="K1328" s="14"/>
      <c r="L1328" s="14"/>
      <c r="M1328" s="14"/>
    </row>
    <row r="1329" spans="1:13" ht="60" x14ac:dyDescent="0.25">
      <c r="A1329" s="117"/>
      <c r="B1329" s="123"/>
      <c r="C1329" s="117"/>
      <c r="D1329" s="107" t="s">
        <v>1363</v>
      </c>
      <c r="E1329" s="107" t="s">
        <v>16</v>
      </c>
      <c r="F1329" s="107" t="s">
        <v>486</v>
      </c>
      <c r="G1329" s="29">
        <v>1657.3</v>
      </c>
      <c r="H1329" s="20">
        <v>1632.9</v>
      </c>
      <c r="I1329" s="76">
        <v>1632.9</v>
      </c>
      <c r="J1329" s="98"/>
      <c r="K1329" s="14"/>
      <c r="L1329" s="14"/>
      <c r="M1329" s="14"/>
    </row>
    <row r="1330" spans="1:13" ht="75" x14ac:dyDescent="0.25">
      <c r="A1330" s="116" t="s">
        <v>1382</v>
      </c>
      <c r="B1330" s="123"/>
      <c r="C1330" s="116" t="s">
        <v>1337</v>
      </c>
      <c r="D1330" s="107" t="s">
        <v>1998</v>
      </c>
      <c r="E1330" s="107" t="s">
        <v>1385</v>
      </c>
      <c r="F1330" s="107" t="s">
        <v>80</v>
      </c>
      <c r="G1330" s="258">
        <v>62</v>
      </c>
      <c r="H1330" s="326">
        <v>43</v>
      </c>
      <c r="I1330" s="331">
        <v>43</v>
      </c>
      <c r="J1330" s="98"/>
      <c r="K1330" s="14"/>
      <c r="L1330" s="14"/>
      <c r="M1330" s="14"/>
    </row>
    <row r="1331" spans="1:13" ht="60" x14ac:dyDescent="0.25">
      <c r="A1331" s="117"/>
      <c r="B1331" s="123"/>
      <c r="C1331" s="117"/>
      <c r="D1331" s="107" t="s">
        <v>1340</v>
      </c>
      <c r="E1331" s="107" t="s">
        <v>16</v>
      </c>
      <c r="F1331" s="107" t="s">
        <v>486</v>
      </c>
      <c r="G1331" s="29">
        <v>681.48</v>
      </c>
      <c r="H1331" s="20">
        <v>550.79</v>
      </c>
      <c r="I1331" s="76">
        <v>550.79</v>
      </c>
      <c r="J1331" s="98"/>
      <c r="K1331" s="14"/>
      <c r="L1331" s="14"/>
      <c r="M1331" s="14"/>
    </row>
    <row r="1332" spans="1:13" ht="90" x14ac:dyDescent="0.25">
      <c r="A1332" s="116" t="s">
        <v>1383</v>
      </c>
      <c r="B1332" s="123"/>
      <c r="C1332" s="116" t="s">
        <v>1337</v>
      </c>
      <c r="D1332" s="107" t="s">
        <v>1999</v>
      </c>
      <c r="E1332" s="107" t="s">
        <v>1387</v>
      </c>
      <c r="F1332" s="107" t="s">
        <v>80</v>
      </c>
      <c r="G1332" s="325">
        <v>103</v>
      </c>
      <c r="H1332" s="18">
        <v>101</v>
      </c>
      <c r="I1332" s="88">
        <v>101</v>
      </c>
      <c r="J1332" s="98"/>
      <c r="K1332" s="14"/>
      <c r="L1332" s="14"/>
      <c r="M1332" s="14"/>
    </row>
    <row r="1333" spans="1:13" ht="60" x14ac:dyDescent="0.25">
      <c r="A1333" s="117"/>
      <c r="B1333" s="123"/>
      <c r="C1333" s="117"/>
      <c r="D1333" s="107" t="s">
        <v>1333</v>
      </c>
      <c r="E1333" s="107" t="s">
        <v>16</v>
      </c>
      <c r="F1333" s="107" t="s">
        <v>486</v>
      </c>
      <c r="G1333" s="29">
        <v>9491.7099999999991</v>
      </c>
      <c r="H1333" s="20">
        <v>10846.42</v>
      </c>
      <c r="I1333" s="76">
        <v>10846.42</v>
      </c>
      <c r="J1333" s="98"/>
      <c r="K1333" s="14"/>
      <c r="L1333" s="14"/>
      <c r="M1333" s="14"/>
    </row>
    <row r="1334" spans="1:13" ht="75" x14ac:dyDescent="0.25">
      <c r="A1334" s="116" t="s">
        <v>1384</v>
      </c>
      <c r="B1334" s="123"/>
      <c r="C1334" s="116" t="s">
        <v>1337</v>
      </c>
      <c r="D1334" s="104" t="s">
        <v>2000</v>
      </c>
      <c r="E1334" s="107" t="s">
        <v>1389</v>
      </c>
      <c r="F1334" s="107" t="s">
        <v>80</v>
      </c>
      <c r="G1334" s="325">
        <v>0</v>
      </c>
      <c r="H1334" s="18">
        <v>60</v>
      </c>
      <c r="I1334" s="88">
        <v>60</v>
      </c>
      <c r="J1334" s="98"/>
      <c r="K1334" s="14"/>
      <c r="L1334" s="14"/>
      <c r="M1334" s="14"/>
    </row>
    <row r="1335" spans="1:13" ht="60" x14ac:dyDescent="0.25">
      <c r="A1335" s="117"/>
      <c r="B1335" s="123"/>
      <c r="C1335" s="117"/>
      <c r="D1335" s="107" t="s">
        <v>1333</v>
      </c>
      <c r="E1335" s="107" t="s">
        <v>16</v>
      </c>
      <c r="F1335" s="107" t="s">
        <v>486</v>
      </c>
      <c r="G1335" s="29">
        <v>0</v>
      </c>
      <c r="H1335" s="20">
        <v>986.52</v>
      </c>
      <c r="I1335" s="76">
        <v>986.52</v>
      </c>
      <c r="J1335" s="98"/>
      <c r="K1335" s="14"/>
      <c r="L1335" s="14"/>
      <c r="M1335" s="14"/>
    </row>
    <row r="1336" spans="1:13" ht="75" x14ac:dyDescent="0.25">
      <c r="A1336" s="116" t="s">
        <v>1386</v>
      </c>
      <c r="B1336" s="123"/>
      <c r="C1336" s="116" t="s">
        <v>1391</v>
      </c>
      <c r="D1336" s="107" t="s">
        <v>2001</v>
      </c>
      <c r="E1336" s="107" t="s">
        <v>1392</v>
      </c>
      <c r="F1336" s="107" t="s">
        <v>80</v>
      </c>
      <c r="G1336" s="325">
        <v>42</v>
      </c>
      <c r="H1336" s="18">
        <v>32</v>
      </c>
      <c r="I1336" s="88">
        <v>32</v>
      </c>
      <c r="J1336" s="98"/>
      <c r="K1336" s="14"/>
      <c r="L1336" s="14"/>
      <c r="M1336" s="14"/>
    </row>
    <row r="1337" spans="1:13" ht="60" x14ac:dyDescent="0.25">
      <c r="A1337" s="117"/>
      <c r="B1337" s="123"/>
      <c r="C1337" s="117"/>
      <c r="D1337" s="107" t="s">
        <v>514</v>
      </c>
      <c r="E1337" s="107" t="s">
        <v>16</v>
      </c>
      <c r="F1337" s="107" t="s">
        <v>486</v>
      </c>
      <c r="G1337" s="29">
        <v>426.39</v>
      </c>
      <c r="H1337" s="20">
        <v>378.59</v>
      </c>
      <c r="I1337" s="76">
        <v>378.59</v>
      </c>
      <c r="J1337" s="98"/>
      <c r="K1337" s="14"/>
      <c r="L1337" s="14"/>
      <c r="M1337" s="14"/>
    </row>
    <row r="1338" spans="1:13" ht="90" x14ac:dyDescent="0.25">
      <c r="A1338" s="116" t="s">
        <v>1388</v>
      </c>
      <c r="B1338" s="123"/>
      <c r="C1338" s="116" t="s">
        <v>1190</v>
      </c>
      <c r="D1338" s="107" t="s">
        <v>2148</v>
      </c>
      <c r="E1338" s="107" t="s">
        <v>1187</v>
      </c>
      <c r="F1338" s="107" t="s">
        <v>80</v>
      </c>
      <c r="G1338" s="325">
        <v>4</v>
      </c>
      <c r="H1338" s="18">
        <v>4</v>
      </c>
      <c r="I1338" s="88">
        <v>4</v>
      </c>
      <c r="J1338" s="98"/>
      <c r="K1338" s="14"/>
      <c r="L1338" s="14"/>
      <c r="M1338" s="14"/>
    </row>
    <row r="1339" spans="1:13" ht="60" x14ac:dyDescent="0.25">
      <c r="A1339" s="117"/>
      <c r="B1339" s="123"/>
      <c r="C1339" s="117"/>
      <c r="D1339" s="107" t="s">
        <v>1333</v>
      </c>
      <c r="E1339" s="107" t="s">
        <v>16</v>
      </c>
      <c r="F1339" s="107" t="s">
        <v>159</v>
      </c>
      <c r="G1339" s="29">
        <v>933.9</v>
      </c>
      <c r="H1339" s="20">
        <f>190.9-36.67</f>
        <v>154.23000000000002</v>
      </c>
      <c r="I1339" s="76">
        <v>154.23000000000002</v>
      </c>
      <c r="J1339" s="98"/>
      <c r="K1339" s="14"/>
      <c r="L1339" s="14"/>
      <c r="M1339" s="14"/>
    </row>
    <row r="1340" spans="1:13" ht="90" x14ac:dyDescent="0.25">
      <c r="A1340" s="116" t="s">
        <v>1390</v>
      </c>
      <c r="B1340" s="123"/>
      <c r="C1340" s="116" t="s">
        <v>1190</v>
      </c>
      <c r="D1340" s="107" t="s">
        <v>2136</v>
      </c>
      <c r="E1340" s="107" t="s">
        <v>1378</v>
      </c>
      <c r="F1340" s="107" t="s">
        <v>80</v>
      </c>
      <c r="G1340" s="324" t="s">
        <v>8</v>
      </c>
      <c r="H1340" s="4" t="s">
        <v>10</v>
      </c>
      <c r="I1340" s="86" t="s">
        <v>10</v>
      </c>
      <c r="J1340" s="98"/>
      <c r="K1340" s="14"/>
      <c r="L1340" s="14"/>
      <c r="M1340" s="14"/>
    </row>
    <row r="1341" spans="1:13" ht="60" x14ac:dyDescent="0.25">
      <c r="A1341" s="117"/>
      <c r="B1341" s="123"/>
      <c r="C1341" s="117"/>
      <c r="D1341" s="107" t="s">
        <v>1333</v>
      </c>
      <c r="E1341" s="107" t="s">
        <v>16</v>
      </c>
      <c r="F1341" s="107" t="s">
        <v>159</v>
      </c>
      <c r="G1341" s="29">
        <v>332.5</v>
      </c>
      <c r="H1341" s="20">
        <f>724.9-236.5</f>
        <v>488.4</v>
      </c>
      <c r="I1341" s="76">
        <v>488.4</v>
      </c>
      <c r="J1341" s="98"/>
      <c r="K1341" s="14"/>
      <c r="L1341" s="14"/>
      <c r="M1341" s="14"/>
    </row>
    <row r="1342" spans="1:13" ht="75" x14ac:dyDescent="0.25">
      <c r="A1342" s="116" t="s">
        <v>1393</v>
      </c>
      <c r="B1342" s="123"/>
      <c r="C1342" s="116" t="s">
        <v>1190</v>
      </c>
      <c r="D1342" s="107" t="s">
        <v>2002</v>
      </c>
      <c r="E1342" s="107" t="s">
        <v>1396</v>
      </c>
      <c r="F1342" s="107" t="s">
        <v>80</v>
      </c>
      <c r="G1342" s="325">
        <v>3</v>
      </c>
      <c r="H1342" s="18">
        <v>3</v>
      </c>
      <c r="I1342" s="88">
        <v>3</v>
      </c>
      <c r="J1342" s="98"/>
      <c r="K1342" s="14"/>
      <c r="L1342" s="14"/>
      <c r="M1342" s="14"/>
    </row>
    <row r="1343" spans="1:13" ht="60" x14ac:dyDescent="0.25">
      <c r="A1343" s="117"/>
      <c r="B1343" s="123"/>
      <c r="C1343" s="117"/>
      <c r="D1343" s="107" t="s">
        <v>1333</v>
      </c>
      <c r="E1343" s="107" t="s">
        <v>16</v>
      </c>
      <c r="F1343" s="107" t="s">
        <v>159</v>
      </c>
      <c r="G1343" s="29">
        <v>656.22</v>
      </c>
      <c r="H1343" s="20">
        <v>764.72</v>
      </c>
      <c r="I1343" s="76">
        <v>764.72</v>
      </c>
      <c r="J1343" s="98"/>
      <c r="K1343" s="14"/>
      <c r="L1343" s="14"/>
      <c r="M1343" s="14"/>
    </row>
    <row r="1344" spans="1:13" ht="79.5" customHeight="1" x14ac:dyDescent="0.25">
      <c r="A1344" s="116" t="s">
        <v>1394</v>
      </c>
      <c r="B1344" s="123"/>
      <c r="C1344" s="116" t="s">
        <v>1172</v>
      </c>
      <c r="D1344" s="104" t="s">
        <v>2003</v>
      </c>
      <c r="E1344" s="107" t="s">
        <v>1397</v>
      </c>
      <c r="F1344" s="107" t="s">
        <v>80</v>
      </c>
      <c r="G1344" s="324" t="s">
        <v>44</v>
      </c>
      <c r="H1344" s="4" t="s">
        <v>44</v>
      </c>
      <c r="I1344" s="86">
        <v>14</v>
      </c>
      <c r="J1344" s="98"/>
      <c r="K1344" s="14"/>
      <c r="L1344" s="14"/>
      <c r="M1344" s="14"/>
    </row>
    <row r="1345" spans="1:13" ht="60" x14ac:dyDescent="0.25">
      <c r="A1345" s="117"/>
      <c r="B1345" s="123"/>
      <c r="C1345" s="117"/>
      <c r="D1345" s="107" t="s">
        <v>1333</v>
      </c>
      <c r="E1345" s="107" t="s">
        <v>16</v>
      </c>
      <c r="F1345" s="107" t="s">
        <v>159</v>
      </c>
      <c r="G1345" s="29">
        <v>4181.8999999999996</v>
      </c>
      <c r="H1345" s="20">
        <v>4287.55</v>
      </c>
      <c r="I1345" s="76">
        <v>4287.55</v>
      </c>
      <c r="J1345" s="98"/>
      <c r="K1345" s="14"/>
      <c r="L1345" s="14"/>
      <c r="M1345" s="14"/>
    </row>
    <row r="1346" spans="1:13" ht="90" x14ac:dyDescent="0.25">
      <c r="A1346" s="116" t="s">
        <v>1395</v>
      </c>
      <c r="B1346" s="123"/>
      <c r="C1346" s="116" t="s">
        <v>1172</v>
      </c>
      <c r="D1346" s="104" t="s">
        <v>2004</v>
      </c>
      <c r="E1346" s="107" t="s">
        <v>1399</v>
      </c>
      <c r="F1346" s="107" t="s">
        <v>80</v>
      </c>
      <c r="G1346" s="324" t="s">
        <v>497</v>
      </c>
      <c r="H1346" s="4" t="s">
        <v>497</v>
      </c>
      <c r="I1346" s="86" t="s">
        <v>497</v>
      </c>
      <c r="J1346" s="98"/>
      <c r="K1346" s="14"/>
      <c r="L1346" s="14"/>
      <c r="M1346" s="14"/>
    </row>
    <row r="1347" spans="1:13" ht="60" x14ac:dyDescent="0.25">
      <c r="A1347" s="117"/>
      <c r="B1347" s="123"/>
      <c r="C1347" s="117"/>
      <c r="D1347" s="107" t="s">
        <v>1333</v>
      </c>
      <c r="E1347" s="107" t="s">
        <v>16</v>
      </c>
      <c r="F1347" s="107" t="s">
        <v>159</v>
      </c>
      <c r="G1347" s="29">
        <v>13616.83</v>
      </c>
      <c r="H1347" s="20">
        <v>13960.83</v>
      </c>
      <c r="I1347" s="76">
        <v>13960.83</v>
      </c>
      <c r="J1347" s="98"/>
      <c r="K1347" s="14"/>
      <c r="L1347" s="14"/>
      <c r="M1347" s="14"/>
    </row>
    <row r="1348" spans="1:13" ht="75" x14ac:dyDescent="0.25">
      <c r="A1348" s="116" t="s">
        <v>1398</v>
      </c>
      <c r="B1348" s="123"/>
      <c r="C1348" s="116" t="s">
        <v>1172</v>
      </c>
      <c r="D1348" s="104" t="s">
        <v>2005</v>
      </c>
      <c r="E1348" s="107" t="s">
        <v>1400</v>
      </c>
      <c r="F1348" s="107" t="s">
        <v>80</v>
      </c>
      <c r="G1348" s="324" t="s">
        <v>498</v>
      </c>
      <c r="H1348" s="4" t="s">
        <v>498</v>
      </c>
      <c r="I1348" s="86" t="s">
        <v>498</v>
      </c>
      <c r="J1348" s="98"/>
      <c r="K1348" s="14"/>
      <c r="L1348" s="14"/>
      <c r="M1348" s="14"/>
    </row>
    <row r="1349" spans="1:13" ht="60" x14ac:dyDescent="0.25">
      <c r="A1349" s="117"/>
      <c r="B1349" s="123"/>
      <c r="C1349" s="117"/>
      <c r="D1349" s="107" t="s">
        <v>1333</v>
      </c>
      <c r="E1349" s="107" t="s">
        <v>16</v>
      </c>
      <c r="F1349" s="107" t="s">
        <v>159</v>
      </c>
      <c r="G1349" s="29">
        <v>1779.64</v>
      </c>
      <c r="H1349" s="20">
        <v>1824.6</v>
      </c>
      <c r="I1349" s="76">
        <v>1824.6</v>
      </c>
      <c r="J1349" s="98"/>
      <c r="K1349" s="14"/>
      <c r="L1349" s="14"/>
      <c r="M1349" s="14"/>
    </row>
    <row r="1350" spans="1:13" ht="75" x14ac:dyDescent="0.25">
      <c r="A1350" s="116" t="s">
        <v>1401</v>
      </c>
      <c r="B1350" s="123"/>
      <c r="C1350" s="116" t="s">
        <v>1172</v>
      </c>
      <c r="D1350" s="104" t="s">
        <v>2006</v>
      </c>
      <c r="E1350" s="107" t="s">
        <v>1403</v>
      </c>
      <c r="F1350" s="107" t="s">
        <v>80</v>
      </c>
      <c r="G1350" s="324" t="s">
        <v>127</v>
      </c>
      <c r="H1350" s="4" t="s">
        <v>127</v>
      </c>
      <c r="I1350" s="86" t="s">
        <v>127</v>
      </c>
      <c r="J1350" s="98"/>
      <c r="K1350" s="14"/>
      <c r="L1350" s="14"/>
      <c r="M1350" s="14"/>
    </row>
    <row r="1351" spans="1:13" ht="60" x14ac:dyDescent="0.25">
      <c r="A1351" s="117"/>
      <c r="B1351" s="123"/>
      <c r="C1351" s="117"/>
      <c r="D1351" s="107" t="s">
        <v>1333</v>
      </c>
      <c r="E1351" s="107" t="s">
        <v>16</v>
      </c>
      <c r="F1351" s="107" t="s">
        <v>159</v>
      </c>
      <c r="G1351" s="29">
        <v>399.44</v>
      </c>
      <c r="H1351" s="20">
        <v>409.53</v>
      </c>
      <c r="I1351" s="76">
        <v>409.53</v>
      </c>
      <c r="J1351" s="98"/>
      <c r="K1351" s="14"/>
      <c r="L1351" s="14"/>
      <c r="M1351" s="14"/>
    </row>
    <row r="1352" spans="1:13" ht="90" x14ac:dyDescent="0.25">
      <c r="A1352" s="116" t="s">
        <v>1402</v>
      </c>
      <c r="B1352" s="123"/>
      <c r="C1352" s="116" t="s">
        <v>1172</v>
      </c>
      <c r="D1352" s="104" t="s">
        <v>2007</v>
      </c>
      <c r="E1352" s="107" t="s">
        <v>1405</v>
      </c>
      <c r="F1352" s="107" t="s">
        <v>80</v>
      </c>
      <c r="G1352" s="324" t="s">
        <v>499</v>
      </c>
      <c r="H1352" s="4" t="s">
        <v>499</v>
      </c>
      <c r="I1352" s="86" t="s">
        <v>499</v>
      </c>
      <c r="J1352" s="98"/>
      <c r="K1352" s="14"/>
      <c r="L1352" s="14"/>
      <c r="M1352" s="14"/>
    </row>
    <row r="1353" spans="1:13" ht="60" x14ac:dyDescent="0.25">
      <c r="A1353" s="117"/>
      <c r="B1353" s="123"/>
      <c r="C1353" s="117"/>
      <c r="D1353" s="107" t="s">
        <v>1333</v>
      </c>
      <c r="E1353" s="107" t="s">
        <v>16</v>
      </c>
      <c r="F1353" s="107" t="s">
        <v>159</v>
      </c>
      <c r="G1353" s="29">
        <v>7382.54</v>
      </c>
      <c r="H1353" s="20">
        <v>7569.05</v>
      </c>
      <c r="I1353" s="76">
        <v>7569.05</v>
      </c>
      <c r="J1353" s="98"/>
      <c r="K1353" s="14"/>
      <c r="L1353" s="14"/>
      <c r="M1353" s="14"/>
    </row>
    <row r="1354" spans="1:13" ht="90" x14ac:dyDescent="0.25">
      <c r="A1354" s="116" t="s">
        <v>1404</v>
      </c>
      <c r="B1354" s="123"/>
      <c r="C1354" s="116" t="s">
        <v>1172</v>
      </c>
      <c r="D1354" s="104" t="s">
        <v>2008</v>
      </c>
      <c r="E1354" s="107" t="s">
        <v>1407</v>
      </c>
      <c r="F1354" s="107" t="s">
        <v>80</v>
      </c>
      <c r="G1354" s="324" t="s">
        <v>13</v>
      </c>
      <c r="H1354" s="4" t="s">
        <v>13</v>
      </c>
      <c r="I1354" s="86" t="s">
        <v>13</v>
      </c>
      <c r="J1354" s="98"/>
      <c r="K1354" s="14"/>
      <c r="L1354" s="14"/>
      <c r="M1354" s="14"/>
    </row>
    <row r="1355" spans="1:13" ht="60" x14ac:dyDescent="0.25">
      <c r="A1355" s="117"/>
      <c r="B1355" s="123"/>
      <c r="C1355" s="117"/>
      <c r="D1355" s="107" t="s">
        <v>1340</v>
      </c>
      <c r="E1355" s="107" t="s">
        <v>16</v>
      </c>
      <c r="F1355" s="107" t="s">
        <v>159</v>
      </c>
      <c r="G1355" s="29">
        <v>1680.87</v>
      </c>
      <c r="H1355" s="20">
        <v>1723.33</v>
      </c>
      <c r="I1355" s="76">
        <v>1723.33</v>
      </c>
      <c r="J1355" s="98"/>
      <c r="K1355" s="14"/>
      <c r="L1355" s="14"/>
      <c r="M1355" s="14"/>
    </row>
    <row r="1356" spans="1:13" ht="75" x14ac:dyDescent="0.25">
      <c r="A1356" s="116" t="s">
        <v>1406</v>
      </c>
      <c r="B1356" s="123"/>
      <c r="C1356" s="116" t="s">
        <v>1172</v>
      </c>
      <c r="D1356" s="104" t="s">
        <v>2009</v>
      </c>
      <c r="E1356" s="107" t="s">
        <v>1409</v>
      </c>
      <c r="F1356" s="107" t="s">
        <v>80</v>
      </c>
      <c r="G1356" s="324" t="s">
        <v>162</v>
      </c>
      <c r="H1356" s="4" t="s">
        <v>162</v>
      </c>
      <c r="I1356" s="86" t="s">
        <v>162</v>
      </c>
      <c r="J1356" s="98"/>
      <c r="K1356" s="14"/>
      <c r="L1356" s="14"/>
      <c r="M1356" s="14"/>
    </row>
    <row r="1357" spans="1:13" ht="60" x14ac:dyDescent="0.25">
      <c r="A1357" s="117"/>
      <c r="B1357" s="123"/>
      <c r="C1357" s="117"/>
      <c r="D1357" s="107" t="s">
        <v>1333</v>
      </c>
      <c r="E1357" s="107" t="s">
        <v>16</v>
      </c>
      <c r="F1357" s="107" t="s">
        <v>486</v>
      </c>
      <c r="G1357" s="29">
        <v>334.77</v>
      </c>
      <c r="H1357" s="20">
        <v>343.23</v>
      </c>
      <c r="I1357" s="76">
        <v>343.23</v>
      </c>
      <c r="J1357" s="98"/>
      <c r="K1357" s="14"/>
      <c r="L1357" s="14"/>
      <c r="M1357" s="14"/>
    </row>
    <row r="1358" spans="1:13" ht="90" x14ac:dyDescent="0.25">
      <c r="A1358" s="116" t="s">
        <v>1408</v>
      </c>
      <c r="B1358" s="123"/>
      <c r="C1358" s="116" t="s">
        <v>1172</v>
      </c>
      <c r="D1358" s="104" t="s">
        <v>2010</v>
      </c>
      <c r="E1358" s="107" t="s">
        <v>1411</v>
      </c>
      <c r="F1358" s="107" t="s">
        <v>80</v>
      </c>
      <c r="G1358" s="324" t="s">
        <v>182</v>
      </c>
      <c r="H1358" s="4" t="s">
        <v>182</v>
      </c>
      <c r="I1358" s="86" t="s">
        <v>182</v>
      </c>
      <c r="J1358" s="98"/>
      <c r="K1358" s="14"/>
      <c r="L1358" s="14"/>
      <c r="M1358" s="14"/>
    </row>
    <row r="1359" spans="1:13" ht="60" x14ac:dyDescent="0.25">
      <c r="A1359" s="117"/>
      <c r="B1359" s="123"/>
      <c r="C1359" s="117"/>
      <c r="D1359" s="107" t="s">
        <v>1333</v>
      </c>
      <c r="E1359" s="107" t="s">
        <v>16</v>
      </c>
      <c r="F1359" s="107" t="s">
        <v>486</v>
      </c>
      <c r="G1359" s="29">
        <v>3721.2</v>
      </c>
      <c r="H1359" s="20">
        <v>3815.21</v>
      </c>
      <c r="I1359" s="76">
        <v>3815.21</v>
      </c>
      <c r="J1359" s="98"/>
      <c r="K1359" s="14"/>
      <c r="L1359" s="14"/>
      <c r="M1359" s="14"/>
    </row>
    <row r="1360" spans="1:13" ht="90" x14ac:dyDescent="0.25">
      <c r="A1360" s="116" t="s">
        <v>1410</v>
      </c>
      <c r="B1360" s="123"/>
      <c r="C1360" s="116" t="s">
        <v>1172</v>
      </c>
      <c r="D1360" s="104" t="s">
        <v>2011</v>
      </c>
      <c r="E1360" s="107" t="s">
        <v>1413</v>
      </c>
      <c r="F1360" s="107" t="s">
        <v>80</v>
      </c>
      <c r="G1360" s="324" t="s">
        <v>44</v>
      </c>
      <c r="H1360" s="4" t="s">
        <v>44</v>
      </c>
      <c r="I1360" s="86" t="s">
        <v>44</v>
      </c>
      <c r="J1360" s="98"/>
      <c r="K1360" s="14"/>
      <c r="L1360" s="14"/>
      <c r="M1360" s="14"/>
    </row>
    <row r="1361" spans="1:13" ht="60" x14ac:dyDescent="0.25">
      <c r="A1361" s="117"/>
      <c r="B1361" s="123"/>
      <c r="C1361" s="117"/>
      <c r="D1361" s="107" t="s">
        <v>1333</v>
      </c>
      <c r="E1361" s="107" t="s">
        <v>16</v>
      </c>
      <c r="F1361" s="107" t="s">
        <v>159</v>
      </c>
      <c r="G1361" s="29">
        <v>3071.57</v>
      </c>
      <c r="H1361" s="20">
        <v>3149.17</v>
      </c>
      <c r="I1361" s="76">
        <v>3149.17</v>
      </c>
      <c r="J1361" s="98"/>
      <c r="K1361" s="14"/>
      <c r="L1361" s="14"/>
      <c r="M1361" s="14"/>
    </row>
    <row r="1362" spans="1:13" ht="90" x14ac:dyDescent="0.25">
      <c r="A1362" s="116" t="s">
        <v>1412</v>
      </c>
      <c r="B1362" s="123"/>
      <c r="C1362" s="116" t="s">
        <v>1172</v>
      </c>
      <c r="D1362" s="104" t="s">
        <v>2012</v>
      </c>
      <c r="E1362" s="107" t="s">
        <v>1415</v>
      </c>
      <c r="F1362" s="107" t="s">
        <v>80</v>
      </c>
      <c r="G1362" s="324" t="s">
        <v>13</v>
      </c>
      <c r="H1362" s="4" t="s">
        <v>13</v>
      </c>
      <c r="I1362" s="86" t="s">
        <v>13</v>
      </c>
      <c r="J1362" s="98"/>
      <c r="K1362" s="14"/>
      <c r="L1362" s="14"/>
      <c r="M1362" s="14"/>
    </row>
    <row r="1363" spans="1:13" ht="60" x14ac:dyDescent="0.25">
      <c r="A1363" s="117"/>
      <c r="B1363" s="123"/>
      <c r="C1363" s="117"/>
      <c r="D1363" s="107" t="s">
        <v>1333</v>
      </c>
      <c r="E1363" s="107" t="s">
        <v>16</v>
      </c>
      <c r="F1363" s="107" t="s">
        <v>159</v>
      </c>
      <c r="G1363" s="29">
        <v>4054.86</v>
      </c>
      <c r="H1363" s="20">
        <v>4157.3</v>
      </c>
      <c r="I1363" s="76">
        <v>4157.3</v>
      </c>
      <c r="J1363" s="98"/>
      <c r="K1363" s="14"/>
      <c r="L1363" s="14"/>
      <c r="M1363" s="14"/>
    </row>
    <row r="1364" spans="1:13" ht="75" x14ac:dyDescent="0.25">
      <c r="A1364" s="116" t="s">
        <v>1414</v>
      </c>
      <c r="B1364" s="123"/>
      <c r="C1364" s="116" t="s">
        <v>1172</v>
      </c>
      <c r="D1364" s="104" t="s">
        <v>2013</v>
      </c>
      <c r="E1364" s="107" t="s">
        <v>1417</v>
      </c>
      <c r="F1364" s="107" t="s">
        <v>80</v>
      </c>
      <c r="G1364" s="324" t="s">
        <v>165</v>
      </c>
      <c r="H1364" s="4" t="s">
        <v>165</v>
      </c>
      <c r="I1364" s="86" t="s">
        <v>165</v>
      </c>
      <c r="J1364" s="98"/>
      <c r="K1364" s="14"/>
      <c r="L1364" s="14"/>
      <c r="M1364" s="14"/>
    </row>
    <row r="1365" spans="1:13" ht="60" x14ac:dyDescent="0.25">
      <c r="A1365" s="117"/>
      <c r="B1365" s="123"/>
      <c r="C1365" s="117"/>
      <c r="D1365" s="107" t="s">
        <v>1333</v>
      </c>
      <c r="E1365" s="107" t="s">
        <v>16</v>
      </c>
      <c r="F1365" s="107" t="s">
        <v>159</v>
      </c>
      <c r="G1365" s="29">
        <v>233.32</v>
      </c>
      <c r="H1365" s="20">
        <v>239.22</v>
      </c>
      <c r="I1365" s="76">
        <v>239.22</v>
      </c>
      <c r="J1365" s="98"/>
      <c r="K1365" s="14"/>
      <c r="L1365" s="14"/>
      <c r="M1365" s="14"/>
    </row>
    <row r="1366" spans="1:13" ht="75" customHeight="1" x14ac:dyDescent="0.25">
      <c r="A1366" s="116" t="s">
        <v>1416</v>
      </c>
      <c r="B1366" s="123"/>
      <c r="C1366" s="116" t="s">
        <v>1172</v>
      </c>
      <c r="D1366" s="104" t="s">
        <v>2014</v>
      </c>
      <c r="E1366" s="107" t="s">
        <v>1419</v>
      </c>
      <c r="F1366" s="107" t="s">
        <v>80</v>
      </c>
      <c r="G1366" s="324" t="s">
        <v>129</v>
      </c>
      <c r="H1366" s="4" t="s">
        <v>129</v>
      </c>
      <c r="I1366" s="86" t="s">
        <v>129</v>
      </c>
      <c r="J1366" s="98"/>
      <c r="K1366" s="14"/>
      <c r="L1366" s="14"/>
      <c r="M1366" s="14"/>
    </row>
    <row r="1367" spans="1:13" ht="60" x14ac:dyDescent="0.25">
      <c r="A1367" s="117"/>
      <c r="B1367" s="123"/>
      <c r="C1367" s="117"/>
      <c r="D1367" s="107" t="s">
        <v>1333</v>
      </c>
      <c r="E1367" s="107" t="s">
        <v>16</v>
      </c>
      <c r="F1367" s="107" t="s">
        <v>159</v>
      </c>
      <c r="G1367" s="29">
        <v>1216.51</v>
      </c>
      <c r="H1367" s="20">
        <v>1247.24</v>
      </c>
      <c r="I1367" s="76">
        <v>1247.24</v>
      </c>
      <c r="J1367" s="98"/>
      <c r="K1367" s="14"/>
      <c r="L1367" s="14"/>
      <c r="M1367" s="14"/>
    </row>
    <row r="1368" spans="1:13" ht="75" x14ac:dyDescent="0.25">
      <c r="A1368" s="116" t="s">
        <v>1418</v>
      </c>
      <c r="B1368" s="123"/>
      <c r="C1368" s="116" t="s">
        <v>1172</v>
      </c>
      <c r="D1368" s="104" t="s">
        <v>2015</v>
      </c>
      <c r="E1368" s="107" t="s">
        <v>1421</v>
      </c>
      <c r="F1368" s="107" t="s">
        <v>80</v>
      </c>
      <c r="G1368" s="324" t="s">
        <v>179</v>
      </c>
      <c r="H1368" s="4" t="s">
        <v>179</v>
      </c>
      <c r="I1368" s="86" t="s">
        <v>179</v>
      </c>
      <c r="J1368" s="98"/>
      <c r="K1368" s="14"/>
      <c r="L1368" s="14"/>
      <c r="M1368" s="14"/>
    </row>
    <row r="1369" spans="1:13" ht="60" x14ac:dyDescent="0.25">
      <c r="A1369" s="117"/>
      <c r="B1369" s="123"/>
      <c r="C1369" s="117"/>
      <c r="D1369" s="107" t="s">
        <v>1333</v>
      </c>
      <c r="E1369" s="107" t="s">
        <v>16</v>
      </c>
      <c r="F1369" s="107" t="s">
        <v>159</v>
      </c>
      <c r="G1369" s="29">
        <v>352.75</v>
      </c>
      <c r="H1369" s="20">
        <v>361.66</v>
      </c>
      <c r="I1369" s="76">
        <v>361.66</v>
      </c>
      <c r="J1369" s="98"/>
      <c r="K1369" s="14"/>
      <c r="L1369" s="14"/>
      <c r="M1369" s="14"/>
    </row>
    <row r="1370" spans="1:13" ht="75" x14ac:dyDescent="0.25">
      <c r="A1370" s="116" t="s">
        <v>1420</v>
      </c>
      <c r="B1370" s="123"/>
      <c r="C1370" s="116" t="s">
        <v>1200</v>
      </c>
      <c r="D1370" s="104" t="s">
        <v>2016</v>
      </c>
      <c r="E1370" s="107" t="s">
        <v>1423</v>
      </c>
      <c r="F1370" s="107" t="s">
        <v>80</v>
      </c>
      <c r="G1370" s="324" t="s">
        <v>130</v>
      </c>
      <c r="H1370" s="4" t="s">
        <v>130</v>
      </c>
      <c r="I1370" s="86" t="s">
        <v>130</v>
      </c>
      <c r="J1370" s="98"/>
      <c r="K1370" s="14"/>
      <c r="L1370" s="14"/>
      <c r="M1370" s="14"/>
    </row>
    <row r="1371" spans="1:13" ht="60" x14ac:dyDescent="0.25">
      <c r="A1371" s="117"/>
      <c r="B1371" s="123"/>
      <c r="C1371" s="117"/>
      <c r="D1371" s="107" t="s">
        <v>1333</v>
      </c>
      <c r="E1371" s="107" t="s">
        <v>16</v>
      </c>
      <c r="F1371" s="107" t="s">
        <v>159</v>
      </c>
      <c r="G1371" s="29">
        <v>567.42999999999995</v>
      </c>
      <c r="H1371" s="20">
        <v>581.77</v>
      </c>
      <c r="I1371" s="76">
        <v>581.77</v>
      </c>
      <c r="J1371" s="98"/>
      <c r="K1371" s="14"/>
      <c r="L1371" s="14"/>
      <c r="M1371" s="14"/>
    </row>
    <row r="1372" spans="1:13" ht="90" x14ac:dyDescent="0.25">
      <c r="A1372" s="116" t="s">
        <v>1422</v>
      </c>
      <c r="B1372" s="123"/>
      <c r="C1372" s="116" t="s">
        <v>1200</v>
      </c>
      <c r="D1372" s="104" t="s">
        <v>2017</v>
      </c>
      <c r="E1372" s="107" t="s">
        <v>1425</v>
      </c>
      <c r="F1372" s="107" t="s">
        <v>80</v>
      </c>
      <c r="G1372" s="324" t="s">
        <v>97</v>
      </c>
      <c r="H1372" s="4" t="s">
        <v>97</v>
      </c>
      <c r="I1372" s="86" t="s">
        <v>97</v>
      </c>
      <c r="J1372" s="98"/>
      <c r="K1372" s="14"/>
      <c r="L1372" s="14"/>
      <c r="M1372" s="14"/>
    </row>
    <row r="1373" spans="1:13" ht="60" x14ac:dyDescent="0.25">
      <c r="A1373" s="117"/>
      <c r="B1373" s="123"/>
      <c r="C1373" s="117"/>
      <c r="D1373" s="107" t="s">
        <v>1333</v>
      </c>
      <c r="E1373" s="107" t="s">
        <v>16</v>
      </c>
      <c r="F1373" s="107" t="s">
        <v>159</v>
      </c>
      <c r="G1373" s="29">
        <v>8821.1299999999992</v>
      </c>
      <c r="H1373" s="20">
        <v>9043.98</v>
      </c>
      <c r="I1373" s="76">
        <v>9043.98</v>
      </c>
      <c r="J1373" s="98"/>
      <c r="K1373" s="14"/>
      <c r="L1373" s="14"/>
      <c r="M1373" s="14"/>
    </row>
    <row r="1374" spans="1:13" ht="90" x14ac:dyDescent="0.25">
      <c r="A1374" s="116" t="s">
        <v>1424</v>
      </c>
      <c r="B1374" s="123"/>
      <c r="C1374" s="116" t="s">
        <v>1200</v>
      </c>
      <c r="D1374" s="104" t="s">
        <v>2018</v>
      </c>
      <c r="E1374" s="107" t="s">
        <v>1427</v>
      </c>
      <c r="F1374" s="107" t="s">
        <v>80</v>
      </c>
      <c r="G1374" s="325">
        <v>0</v>
      </c>
      <c r="H1374" s="325">
        <v>8</v>
      </c>
      <c r="I1374" s="332">
        <v>8</v>
      </c>
      <c r="J1374" s="98"/>
      <c r="K1374" s="14"/>
      <c r="L1374" s="14"/>
      <c r="M1374" s="14"/>
    </row>
    <row r="1375" spans="1:13" ht="60" x14ac:dyDescent="0.25">
      <c r="A1375" s="117"/>
      <c r="B1375" s="123"/>
      <c r="C1375" s="117"/>
      <c r="D1375" s="107" t="s">
        <v>1333</v>
      </c>
      <c r="E1375" s="107" t="s">
        <v>16</v>
      </c>
      <c r="F1375" s="107" t="s">
        <v>159</v>
      </c>
      <c r="G1375" s="29">
        <v>0</v>
      </c>
      <c r="H1375" s="20">
        <v>772.3</v>
      </c>
      <c r="I1375" s="76">
        <v>772.3</v>
      </c>
      <c r="J1375" s="98"/>
      <c r="K1375" s="14"/>
      <c r="L1375" s="14"/>
      <c r="M1375" s="14"/>
    </row>
    <row r="1376" spans="1:13" ht="75" x14ac:dyDescent="0.25">
      <c r="A1376" s="116" t="s">
        <v>1426</v>
      </c>
      <c r="B1376" s="123"/>
      <c r="C1376" s="116" t="s">
        <v>1172</v>
      </c>
      <c r="D1376" s="107" t="s">
        <v>2150</v>
      </c>
      <c r="E1376" s="107" t="s">
        <v>1173</v>
      </c>
      <c r="F1376" s="107" t="s">
        <v>80</v>
      </c>
      <c r="G1376" s="324" t="s">
        <v>42</v>
      </c>
      <c r="H1376" s="4" t="s">
        <v>42</v>
      </c>
      <c r="I1376" s="86" t="s">
        <v>42</v>
      </c>
      <c r="J1376" s="98"/>
      <c r="K1376" s="14"/>
      <c r="L1376" s="14"/>
      <c r="M1376" s="14"/>
    </row>
    <row r="1377" spans="1:13" ht="60" x14ac:dyDescent="0.25">
      <c r="A1377" s="117"/>
      <c r="B1377" s="123"/>
      <c r="C1377" s="117"/>
      <c r="D1377" s="107" t="s">
        <v>1333</v>
      </c>
      <c r="E1377" s="107" t="s">
        <v>16</v>
      </c>
      <c r="F1377" s="107" t="s">
        <v>159</v>
      </c>
      <c r="G1377" s="29">
        <v>650.70000000000005</v>
      </c>
      <c r="H1377" s="20">
        <f>834.1-237.92</f>
        <v>596.18000000000006</v>
      </c>
      <c r="I1377" s="76">
        <v>596.18000000000006</v>
      </c>
      <c r="J1377" s="98"/>
      <c r="K1377" s="14"/>
      <c r="L1377" s="14"/>
      <c r="M1377" s="14"/>
    </row>
    <row r="1378" spans="1:13" ht="75" x14ac:dyDescent="0.25">
      <c r="A1378" s="116" t="s">
        <v>1428</v>
      </c>
      <c r="B1378" s="123"/>
      <c r="C1378" s="116" t="s">
        <v>1172</v>
      </c>
      <c r="D1378" s="107" t="s">
        <v>2150</v>
      </c>
      <c r="E1378" s="107" t="s">
        <v>1173</v>
      </c>
      <c r="F1378" s="107" t="s">
        <v>80</v>
      </c>
      <c r="G1378" s="325">
        <v>263</v>
      </c>
      <c r="H1378" s="18">
        <v>255</v>
      </c>
      <c r="I1378" s="88">
        <v>255</v>
      </c>
      <c r="J1378" s="98"/>
      <c r="K1378" s="14"/>
      <c r="L1378" s="14"/>
      <c r="M1378" s="14"/>
    </row>
    <row r="1379" spans="1:13" ht="60" x14ac:dyDescent="0.25">
      <c r="A1379" s="117"/>
      <c r="B1379" s="123"/>
      <c r="C1379" s="117"/>
      <c r="D1379" s="107" t="s">
        <v>1333</v>
      </c>
      <c r="E1379" s="107" t="s">
        <v>16</v>
      </c>
      <c r="F1379" s="107" t="s">
        <v>159</v>
      </c>
      <c r="G1379" s="29">
        <v>5375.7</v>
      </c>
      <c r="H1379" s="20">
        <v>5125.7</v>
      </c>
      <c r="I1379" s="76">
        <v>5125.7</v>
      </c>
      <c r="J1379" s="98"/>
      <c r="K1379" s="14"/>
      <c r="L1379" s="14"/>
      <c r="M1379" s="14"/>
    </row>
    <row r="1380" spans="1:13" ht="75" x14ac:dyDescent="0.25">
      <c r="A1380" s="116" t="s">
        <v>1429</v>
      </c>
      <c r="B1380" s="123"/>
      <c r="C1380" s="116" t="s">
        <v>1172</v>
      </c>
      <c r="D1380" s="107" t="s">
        <v>2151</v>
      </c>
      <c r="E1380" s="107" t="s">
        <v>1176</v>
      </c>
      <c r="F1380" s="107" t="s">
        <v>80</v>
      </c>
      <c r="G1380" s="324" t="s">
        <v>40</v>
      </c>
      <c r="H1380" s="4" t="s">
        <v>42</v>
      </c>
      <c r="I1380" s="86" t="s">
        <v>42</v>
      </c>
      <c r="J1380" s="98"/>
      <c r="K1380" s="14"/>
      <c r="L1380" s="14"/>
      <c r="M1380" s="14"/>
    </row>
    <row r="1381" spans="1:13" ht="60" x14ac:dyDescent="0.25">
      <c r="A1381" s="117"/>
      <c r="B1381" s="123"/>
      <c r="C1381" s="117"/>
      <c r="D1381" s="107" t="s">
        <v>1333</v>
      </c>
      <c r="E1381" s="107" t="s">
        <v>16</v>
      </c>
      <c r="F1381" s="107" t="s">
        <v>159</v>
      </c>
      <c r="G1381" s="29">
        <v>1023.9</v>
      </c>
      <c r="H1381" s="20">
        <f>1574.8-449.23</f>
        <v>1125.57</v>
      </c>
      <c r="I1381" s="76">
        <v>1125.57</v>
      </c>
      <c r="J1381" s="98"/>
      <c r="K1381" s="14"/>
      <c r="L1381" s="14"/>
      <c r="M1381" s="14"/>
    </row>
    <row r="1382" spans="1:13" ht="75" x14ac:dyDescent="0.25">
      <c r="A1382" s="116" t="s">
        <v>1430</v>
      </c>
      <c r="B1382" s="123"/>
      <c r="C1382" s="116" t="s">
        <v>1172</v>
      </c>
      <c r="D1382" s="107" t="s">
        <v>2151</v>
      </c>
      <c r="E1382" s="107" t="s">
        <v>1176</v>
      </c>
      <c r="F1382" s="107" t="s">
        <v>80</v>
      </c>
      <c r="G1382" s="324" t="s">
        <v>500</v>
      </c>
      <c r="H1382" s="4" t="s">
        <v>501</v>
      </c>
      <c r="I1382" s="86" t="s">
        <v>501</v>
      </c>
      <c r="J1382" s="98"/>
      <c r="K1382" s="14"/>
      <c r="L1382" s="14"/>
      <c r="M1382" s="14"/>
    </row>
    <row r="1383" spans="1:13" ht="60" x14ac:dyDescent="0.25">
      <c r="A1383" s="117"/>
      <c r="B1383" s="123"/>
      <c r="C1383" s="117"/>
      <c r="D1383" s="107" t="s">
        <v>1340</v>
      </c>
      <c r="E1383" s="107" t="s">
        <v>16</v>
      </c>
      <c r="F1383" s="107" t="s">
        <v>159</v>
      </c>
      <c r="G1383" s="29">
        <v>5032.8999999999996</v>
      </c>
      <c r="H1383" s="20">
        <v>4678.2</v>
      </c>
      <c r="I1383" s="76">
        <v>4678.2</v>
      </c>
      <c r="J1383" s="98"/>
      <c r="K1383" s="14"/>
      <c r="L1383" s="14"/>
      <c r="M1383" s="14"/>
    </row>
    <row r="1384" spans="1:13" ht="75" x14ac:dyDescent="0.25">
      <c r="A1384" s="116" t="s">
        <v>1431</v>
      </c>
      <c r="B1384" s="123"/>
      <c r="C1384" s="116" t="s">
        <v>1172</v>
      </c>
      <c r="D1384" s="107" t="s">
        <v>2152</v>
      </c>
      <c r="E1384" s="107" t="s">
        <v>1433</v>
      </c>
      <c r="F1384" s="107" t="s">
        <v>80</v>
      </c>
      <c r="G1384" s="324" t="s">
        <v>43</v>
      </c>
      <c r="H1384" s="4" t="s">
        <v>49</v>
      </c>
      <c r="I1384" s="86" t="s">
        <v>49</v>
      </c>
      <c r="J1384" s="98"/>
      <c r="K1384" s="14"/>
      <c r="L1384" s="14"/>
      <c r="M1384" s="14"/>
    </row>
    <row r="1385" spans="1:13" ht="60" x14ac:dyDescent="0.25">
      <c r="A1385" s="117"/>
      <c r="B1385" s="123"/>
      <c r="C1385" s="117"/>
      <c r="D1385" s="107" t="s">
        <v>1333</v>
      </c>
      <c r="E1385" s="107" t="s">
        <v>16</v>
      </c>
      <c r="F1385" s="107" t="s">
        <v>159</v>
      </c>
      <c r="G1385" s="29">
        <v>5047.8</v>
      </c>
      <c r="H1385" s="20">
        <v>7671.6</v>
      </c>
      <c r="I1385" s="76">
        <v>7671.6</v>
      </c>
      <c r="J1385" s="98"/>
      <c r="K1385" s="14"/>
      <c r="L1385" s="14"/>
      <c r="M1385" s="14"/>
    </row>
    <row r="1386" spans="1:13" ht="75" x14ac:dyDescent="0.25">
      <c r="A1386" s="116" t="s">
        <v>1432</v>
      </c>
      <c r="B1386" s="123"/>
      <c r="C1386" s="116" t="s">
        <v>1172</v>
      </c>
      <c r="D1386" s="107" t="s">
        <v>2138</v>
      </c>
      <c r="E1386" s="107" t="s">
        <v>1435</v>
      </c>
      <c r="F1386" s="107" t="s">
        <v>80</v>
      </c>
      <c r="G1386" s="324" t="s">
        <v>11</v>
      </c>
      <c r="H1386" s="4" t="s">
        <v>9</v>
      </c>
      <c r="I1386" s="86" t="s">
        <v>9</v>
      </c>
      <c r="J1386" s="98"/>
      <c r="K1386" s="14"/>
      <c r="L1386" s="14"/>
      <c r="M1386" s="14"/>
    </row>
    <row r="1387" spans="1:13" ht="60" x14ac:dyDescent="0.25">
      <c r="A1387" s="117"/>
      <c r="B1387" s="123"/>
      <c r="C1387" s="117"/>
      <c r="D1387" s="107" t="s">
        <v>1333</v>
      </c>
      <c r="E1387" s="107" t="s">
        <v>16</v>
      </c>
      <c r="F1387" s="107" t="s">
        <v>159</v>
      </c>
      <c r="G1387" s="29">
        <v>2389.5</v>
      </c>
      <c r="H1387" s="20">
        <v>1409.9</v>
      </c>
      <c r="I1387" s="76">
        <v>1409.9</v>
      </c>
      <c r="J1387" s="98"/>
      <c r="K1387" s="14"/>
      <c r="L1387" s="14"/>
      <c r="M1387" s="14"/>
    </row>
    <row r="1388" spans="1:13" ht="75" x14ac:dyDescent="0.25">
      <c r="A1388" s="116" t="s">
        <v>1434</v>
      </c>
      <c r="B1388" s="123"/>
      <c r="C1388" s="116" t="s">
        <v>1172</v>
      </c>
      <c r="D1388" s="107" t="s">
        <v>2139</v>
      </c>
      <c r="E1388" s="107" t="s">
        <v>1437</v>
      </c>
      <c r="F1388" s="107" t="s">
        <v>80</v>
      </c>
      <c r="G1388" s="324" t="s">
        <v>165</v>
      </c>
      <c r="H1388" s="4" t="s">
        <v>162</v>
      </c>
      <c r="I1388" s="86" t="s">
        <v>162</v>
      </c>
      <c r="J1388" s="98"/>
      <c r="K1388" s="14"/>
      <c r="L1388" s="14"/>
      <c r="M1388" s="14"/>
    </row>
    <row r="1389" spans="1:13" ht="60" x14ac:dyDescent="0.25">
      <c r="A1389" s="117"/>
      <c r="B1389" s="123"/>
      <c r="C1389" s="117"/>
      <c r="D1389" s="107" t="s">
        <v>1333</v>
      </c>
      <c r="E1389" s="107" t="s">
        <v>16</v>
      </c>
      <c r="F1389" s="107" t="s">
        <v>159</v>
      </c>
      <c r="G1389" s="29">
        <v>269.2</v>
      </c>
      <c r="H1389" s="20">
        <f>306.7-87.5</f>
        <v>219.2</v>
      </c>
      <c r="I1389" s="76">
        <v>219.2</v>
      </c>
      <c r="J1389" s="98"/>
      <c r="K1389" s="14"/>
      <c r="L1389" s="14"/>
      <c r="M1389" s="14"/>
    </row>
    <row r="1390" spans="1:13" ht="90" x14ac:dyDescent="0.25">
      <c r="A1390" s="116" t="s">
        <v>1436</v>
      </c>
      <c r="B1390" s="123"/>
      <c r="C1390" s="116" t="s">
        <v>1172</v>
      </c>
      <c r="D1390" s="107" t="s">
        <v>2140</v>
      </c>
      <c r="E1390" s="107" t="s">
        <v>1181</v>
      </c>
      <c r="F1390" s="107" t="s">
        <v>80</v>
      </c>
      <c r="G1390" s="324" t="s">
        <v>170</v>
      </c>
      <c r="H1390" s="4" t="s">
        <v>170</v>
      </c>
      <c r="I1390" s="86" t="s">
        <v>170</v>
      </c>
      <c r="J1390" s="98"/>
      <c r="K1390" s="14"/>
      <c r="L1390" s="14"/>
      <c r="M1390" s="14"/>
    </row>
    <row r="1391" spans="1:13" ht="60" x14ac:dyDescent="0.25">
      <c r="A1391" s="117"/>
      <c r="B1391" s="123"/>
      <c r="C1391" s="117"/>
      <c r="D1391" s="107" t="s">
        <v>1333</v>
      </c>
      <c r="E1391" s="107" t="s">
        <v>16</v>
      </c>
      <c r="F1391" s="107" t="s">
        <v>159</v>
      </c>
      <c r="G1391" s="29">
        <v>5340.2</v>
      </c>
      <c r="H1391" s="20">
        <f>5642.7-1590.04</f>
        <v>4052.66</v>
      </c>
      <c r="I1391" s="76">
        <v>4052.66</v>
      </c>
      <c r="J1391" s="98"/>
      <c r="K1391" s="14"/>
      <c r="L1391" s="14"/>
      <c r="M1391" s="14"/>
    </row>
    <row r="1392" spans="1:13" ht="90" x14ac:dyDescent="0.25">
      <c r="A1392" s="116" t="s">
        <v>1438</v>
      </c>
      <c r="B1392" s="123"/>
      <c r="C1392" s="116" t="s">
        <v>1172</v>
      </c>
      <c r="D1392" s="107" t="s">
        <v>2140</v>
      </c>
      <c r="E1392" s="107" t="s">
        <v>1181</v>
      </c>
      <c r="F1392" s="107" t="s">
        <v>80</v>
      </c>
      <c r="G1392" s="325">
        <v>20</v>
      </c>
      <c r="H1392" s="18">
        <v>20</v>
      </c>
      <c r="I1392" s="88">
        <v>20</v>
      </c>
      <c r="J1392" s="98"/>
      <c r="K1392" s="14"/>
      <c r="L1392" s="14"/>
      <c r="M1392" s="14"/>
    </row>
    <row r="1393" spans="1:13" ht="60" x14ac:dyDescent="0.25">
      <c r="A1393" s="117"/>
      <c r="B1393" s="123"/>
      <c r="C1393" s="117"/>
      <c r="D1393" s="107" t="s">
        <v>1440</v>
      </c>
      <c r="E1393" s="107" t="s">
        <v>16</v>
      </c>
      <c r="F1393" s="107" t="s">
        <v>159</v>
      </c>
      <c r="G1393" s="29">
        <v>1755.6</v>
      </c>
      <c r="H1393" s="20">
        <v>2550.8000000000002</v>
      </c>
      <c r="I1393" s="76">
        <v>2550.8000000000002</v>
      </c>
      <c r="J1393" s="98"/>
      <c r="K1393" s="14"/>
      <c r="L1393" s="14"/>
      <c r="M1393" s="14"/>
    </row>
    <row r="1394" spans="1:13" ht="90" x14ac:dyDescent="0.25">
      <c r="A1394" s="116" t="s">
        <v>1439</v>
      </c>
      <c r="B1394" s="123"/>
      <c r="C1394" s="116" t="s">
        <v>1172</v>
      </c>
      <c r="D1394" s="107" t="s">
        <v>2141</v>
      </c>
      <c r="E1394" s="107" t="s">
        <v>1184</v>
      </c>
      <c r="F1394" s="107" t="s">
        <v>80</v>
      </c>
      <c r="G1394" s="324" t="s">
        <v>40</v>
      </c>
      <c r="H1394" s="4" t="s">
        <v>15</v>
      </c>
      <c r="I1394" s="86" t="s">
        <v>15</v>
      </c>
      <c r="J1394" s="98"/>
      <c r="K1394" s="14"/>
      <c r="L1394" s="14"/>
      <c r="M1394" s="14"/>
    </row>
    <row r="1395" spans="1:13" ht="60" x14ac:dyDescent="0.25">
      <c r="A1395" s="117"/>
      <c r="B1395" s="123"/>
      <c r="C1395" s="117"/>
      <c r="D1395" s="107" t="s">
        <v>514</v>
      </c>
      <c r="E1395" s="107" t="s">
        <v>16</v>
      </c>
      <c r="F1395" s="107" t="s">
        <v>159</v>
      </c>
      <c r="G1395" s="29">
        <v>3293.9</v>
      </c>
      <c r="H1395" s="20">
        <f>2668.3-812.46</f>
        <v>1855.8400000000001</v>
      </c>
      <c r="I1395" s="76">
        <v>1855.8400000000001</v>
      </c>
      <c r="J1395" s="98"/>
      <c r="K1395" s="14"/>
      <c r="L1395" s="14"/>
      <c r="M1395" s="14"/>
    </row>
    <row r="1396" spans="1:13" ht="90" x14ac:dyDescent="0.25">
      <c r="A1396" s="116" t="s">
        <v>1441</v>
      </c>
      <c r="B1396" s="123"/>
      <c r="C1396" s="116" t="s">
        <v>1172</v>
      </c>
      <c r="D1396" s="5" t="s">
        <v>2142</v>
      </c>
      <c r="E1396" s="107" t="s">
        <v>1185</v>
      </c>
      <c r="F1396" s="107" t="s">
        <v>80</v>
      </c>
      <c r="G1396" s="324" t="s">
        <v>12</v>
      </c>
      <c r="H1396" s="4" t="s">
        <v>10</v>
      </c>
      <c r="I1396" s="86" t="s">
        <v>10</v>
      </c>
      <c r="J1396" s="98"/>
      <c r="K1396" s="14"/>
      <c r="L1396" s="14"/>
      <c r="M1396" s="14"/>
    </row>
    <row r="1397" spans="1:13" ht="60" x14ac:dyDescent="0.25">
      <c r="A1397" s="117"/>
      <c r="B1397" s="123"/>
      <c r="C1397" s="117"/>
      <c r="D1397" s="107" t="s">
        <v>1340</v>
      </c>
      <c r="E1397" s="107" t="s">
        <v>16</v>
      </c>
      <c r="F1397" s="107" t="s">
        <v>159</v>
      </c>
      <c r="G1397" s="29">
        <v>983.4</v>
      </c>
      <c r="H1397" s="20">
        <f>626.4-171.39</f>
        <v>455.01</v>
      </c>
      <c r="I1397" s="76">
        <v>455.01</v>
      </c>
      <c r="J1397" s="98"/>
      <c r="K1397" s="14"/>
      <c r="L1397" s="14"/>
      <c r="M1397" s="14"/>
    </row>
    <row r="1398" spans="1:13" ht="75" x14ac:dyDescent="0.25">
      <c r="A1398" s="116" t="s">
        <v>1442</v>
      </c>
      <c r="B1398" s="123"/>
      <c r="C1398" s="116" t="s">
        <v>1200</v>
      </c>
      <c r="D1398" s="107" t="s">
        <v>1932</v>
      </c>
      <c r="E1398" s="107" t="s">
        <v>1444</v>
      </c>
      <c r="F1398" s="107" t="s">
        <v>80</v>
      </c>
      <c r="G1398" s="324" t="s">
        <v>496</v>
      </c>
      <c r="H1398" s="4" t="s">
        <v>47</v>
      </c>
      <c r="I1398" s="86" t="s">
        <v>47</v>
      </c>
      <c r="J1398" s="98"/>
      <c r="K1398" s="14"/>
      <c r="L1398" s="14"/>
      <c r="M1398" s="14"/>
    </row>
    <row r="1399" spans="1:13" ht="60" x14ac:dyDescent="0.25">
      <c r="A1399" s="117"/>
      <c r="B1399" s="123"/>
      <c r="C1399" s="117"/>
      <c r="D1399" s="107" t="s">
        <v>1333</v>
      </c>
      <c r="E1399" s="107" t="s">
        <v>16</v>
      </c>
      <c r="F1399" s="107" t="s">
        <v>159</v>
      </c>
      <c r="G1399" s="29">
        <v>0</v>
      </c>
      <c r="H1399" s="20">
        <f>313.1-88.1</f>
        <v>225.00000000000003</v>
      </c>
      <c r="I1399" s="76">
        <v>225.00000000000003</v>
      </c>
      <c r="J1399" s="98"/>
      <c r="K1399" s="14"/>
      <c r="L1399" s="14"/>
      <c r="M1399" s="14"/>
    </row>
    <row r="1400" spans="1:13" ht="90" x14ac:dyDescent="0.25">
      <c r="A1400" s="116" t="s">
        <v>1443</v>
      </c>
      <c r="B1400" s="123"/>
      <c r="C1400" s="116" t="s">
        <v>1200</v>
      </c>
      <c r="D1400" s="107" t="s">
        <v>1933</v>
      </c>
      <c r="E1400" s="107" t="s">
        <v>1446</v>
      </c>
      <c r="F1400" s="107" t="s">
        <v>80</v>
      </c>
      <c r="G1400" s="324" t="s">
        <v>41</v>
      </c>
      <c r="H1400" s="4" t="s">
        <v>42</v>
      </c>
      <c r="I1400" s="86" t="s">
        <v>42</v>
      </c>
      <c r="J1400" s="98"/>
      <c r="K1400" s="14"/>
      <c r="L1400" s="14"/>
      <c r="M1400" s="14"/>
    </row>
    <row r="1401" spans="1:13" ht="60" x14ac:dyDescent="0.25">
      <c r="A1401" s="117"/>
      <c r="B1401" s="123"/>
      <c r="C1401" s="117"/>
      <c r="D1401" s="107" t="s">
        <v>514</v>
      </c>
      <c r="E1401" s="107" t="s">
        <v>16</v>
      </c>
      <c r="F1401" s="107" t="s">
        <v>159</v>
      </c>
      <c r="G1401" s="29">
        <v>509</v>
      </c>
      <c r="H1401" s="20">
        <f>508.2-143.1</f>
        <v>365.1</v>
      </c>
      <c r="I1401" s="76">
        <f>508.2-143.1</f>
        <v>365.1</v>
      </c>
      <c r="J1401" s="98"/>
      <c r="K1401" s="14"/>
      <c r="L1401" s="14"/>
      <c r="M1401" s="14"/>
    </row>
    <row r="1402" spans="1:13" ht="90" x14ac:dyDescent="0.25">
      <c r="A1402" s="116" t="s">
        <v>1445</v>
      </c>
      <c r="B1402" s="123"/>
      <c r="C1402" s="116" t="s">
        <v>1448</v>
      </c>
      <c r="D1402" s="107" t="s">
        <v>1934</v>
      </c>
      <c r="E1402" s="107" t="s">
        <v>1449</v>
      </c>
      <c r="F1402" s="107" t="s">
        <v>80</v>
      </c>
      <c r="G1402" s="324" t="s">
        <v>496</v>
      </c>
      <c r="H1402" s="4" t="s">
        <v>10</v>
      </c>
      <c r="I1402" s="86" t="s">
        <v>10</v>
      </c>
      <c r="J1402" s="98"/>
      <c r="K1402" s="14"/>
      <c r="L1402" s="14"/>
      <c r="M1402" s="14"/>
    </row>
    <row r="1403" spans="1:13" ht="60" x14ac:dyDescent="0.25">
      <c r="A1403" s="117"/>
      <c r="B1403" s="123"/>
      <c r="C1403" s="117"/>
      <c r="D1403" s="107" t="s">
        <v>1333</v>
      </c>
      <c r="E1403" s="107" t="s">
        <v>16</v>
      </c>
      <c r="F1403" s="107" t="s">
        <v>159</v>
      </c>
      <c r="G1403" s="29">
        <v>0</v>
      </c>
      <c r="H1403" s="20">
        <f>281.9-79.4</f>
        <v>202.49999999999997</v>
      </c>
      <c r="I1403" s="76">
        <v>202.49999999999997</v>
      </c>
      <c r="J1403" s="98"/>
      <c r="K1403" s="14"/>
      <c r="L1403" s="14"/>
      <c r="M1403" s="14"/>
    </row>
    <row r="1404" spans="1:13" ht="75" x14ac:dyDescent="0.25">
      <c r="A1404" s="116" t="s">
        <v>1447</v>
      </c>
      <c r="B1404" s="123"/>
      <c r="C1404" s="118" t="s">
        <v>1200</v>
      </c>
      <c r="D1404" s="107" t="s">
        <v>1935</v>
      </c>
      <c r="E1404" s="107" t="s">
        <v>1451</v>
      </c>
      <c r="F1404" s="107" t="s">
        <v>80</v>
      </c>
      <c r="G1404" s="324" t="s">
        <v>129</v>
      </c>
      <c r="H1404" s="4" t="s">
        <v>129</v>
      </c>
      <c r="I1404" s="86" t="s">
        <v>129</v>
      </c>
      <c r="J1404" s="98"/>
      <c r="K1404" s="14"/>
      <c r="L1404" s="14"/>
      <c r="M1404" s="14"/>
    </row>
    <row r="1405" spans="1:13" ht="60" x14ac:dyDescent="0.25">
      <c r="A1405" s="117"/>
      <c r="B1405" s="123"/>
      <c r="C1405" s="117"/>
      <c r="D1405" s="107" t="s">
        <v>1333</v>
      </c>
      <c r="E1405" s="107" t="s">
        <v>16</v>
      </c>
      <c r="F1405" s="107" t="s">
        <v>486</v>
      </c>
      <c r="G1405" s="29">
        <v>465.4</v>
      </c>
      <c r="H1405" s="20">
        <f>426-119.9</f>
        <v>306.10000000000002</v>
      </c>
      <c r="I1405" s="76">
        <v>306.10000000000002</v>
      </c>
      <c r="J1405" s="98"/>
      <c r="K1405" s="14"/>
      <c r="L1405" s="14"/>
      <c r="M1405" s="14"/>
    </row>
    <row r="1406" spans="1:13" ht="90" x14ac:dyDescent="0.25">
      <c r="A1406" s="116" t="s">
        <v>1450</v>
      </c>
      <c r="B1406" s="123"/>
      <c r="C1406" s="118" t="s">
        <v>1200</v>
      </c>
      <c r="D1406" s="107" t="s">
        <v>2019</v>
      </c>
      <c r="E1406" s="107" t="s">
        <v>1453</v>
      </c>
      <c r="F1406" s="107" t="s">
        <v>80</v>
      </c>
      <c r="G1406" s="324" t="s">
        <v>496</v>
      </c>
      <c r="H1406" s="4" t="s">
        <v>12</v>
      </c>
      <c r="I1406" s="86" t="s">
        <v>12</v>
      </c>
      <c r="J1406" s="98"/>
      <c r="K1406" s="14"/>
      <c r="L1406" s="14"/>
      <c r="M1406" s="14"/>
    </row>
    <row r="1407" spans="1:13" ht="60" x14ac:dyDescent="0.25">
      <c r="A1407" s="117"/>
      <c r="B1407" s="123"/>
      <c r="C1407" s="117"/>
      <c r="D1407" s="107" t="s">
        <v>1333</v>
      </c>
      <c r="E1407" s="107" t="s">
        <v>16</v>
      </c>
      <c r="F1407" s="107" t="s">
        <v>159</v>
      </c>
      <c r="G1407" s="29">
        <v>0</v>
      </c>
      <c r="H1407" s="20">
        <f>268-75.5</f>
        <v>192.5</v>
      </c>
      <c r="I1407" s="76">
        <v>192.5</v>
      </c>
      <c r="J1407" s="98"/>
      <c r="K1407" s="14"/>
      <c r="L1407" s="14"/>
      <c r="M1407" s="14"/>
    </row>
    <row r="1408" spans="1:13" ht="75" x14ac:dyDescent="0.25">
      <c r="A1408" s="116" t="s">
        <v>1452</v>
      </c>
      <c r="B1408" s="123"/>
      <c r="C1408" s="116" t="s">
        <v>1455</v>
      </c>
      <c r="D1408" s="107" t="s">
        <v>2020</v>
      </c>
      <c r="E1408" s="107" t="s">
        <v>1456</v>
      </c>
      <c r="F1408" s="107" t="s">
        <v>80</v>
      </c>
      <c r="G1408" s="324" t="s">
        <v>502</v>
      </c>
      <c r="H1408" s="4" t="s">
        <v>502</v>
      </c>
      <c r="I1408" s="86" t="s">
        <v>503</v>
      </c>
      <c r="J1408" s="98"/>
      <c r="K1408" s="14"/>
      <c r="L1408" s="14"/>
      <c r="M1408" s="14"/>
    </row>
    <row r="1409" spans="1:13" ht="60" x14ac:dyDescent="0.25">
      <c r="A1409" s="117"/>
      <c r="B1409" s="123"/>
      <c r="C1409" s="117"/>
      <c r="D1409" s="107" t="s">
        <v>1333</v>
      </c>
      <c r="E1409" s="107" t="s">
        <v>16</v>
      </c>
      <c r="F1409" s="107" t="s">
        <v>159</v>
      </c>
      <c r="G1409" s="29">
        <v>2710.44</v>
      </c>
      <c r="H1409" s="20">
        <v>2863.66</v>
      </c>
      <c r="I1409" s="76">
        <v>2863.66</v>
      </c>
      <c r="J1409" s="98"/>
      <c r="K1409" s="14"/>
      <c r="L1409" s="14"/>
      <c r="M1409" s="14"/>
    </row>
    <row r="1410" spans="1:13" ht="77.25" customHeight="1" x14ac:dyDescent="0.25">
      <c r="A1410" s="116" t="s">
        <v>1454</v>
      </c>
      <c r="B1410" s="123"/>
      <c r="C1410" s="116" t="s">
        <v>1455</v>
      </c>
      <c r="D1410" s="107" t="s">
        <v>2021</v>
      </c>
      <c r="E1410" s="107" t="s">
        <v>1458</v>
      </c>
      <c r="F1410" s="107" t="s">
        <v>80</v>
      </c>
      <c r="G1410" s="324" t="s">
        <v>504</v>
      </c>
      <c r="H1410" s="4" t="s">
        <v>504</v>
      </c>
      <c r="I1410" s="86" t="s">
        <v>505</v>
      </c>
      <c r="J1410" s="98"/>
      <c r="K1410" s="14"/>
      <c r="L1410" s="14"/>
      <c r="M1410" s="14"/>
    </row>
    <row r="1411" spans="1:13" ht="60" x14ac:dyDescent="0.25">
      <c r="A1411" s="117"/>
      <c r="B1411" s="123"/>
      <c r="C1411" s="117"/>
      <c r="D1411" s="107" t="s">
        <v>1333</v>
      </c>
      <c r="E1411" s="107" t="s">
        <v>16</v>
      </c>
      <c r="F1411" s="107" t="s">
        <v>159</v>
      </c>
      <c r="G1411" s="29">
        <v>17235.93</v>
      </c>
      <c r="H1411" s="20">
        <v>18201.240000000002</v>
      </c>
      <c r="I1411" s="76">
        <v>18201.240000000002</v>
      </c>
      <c r="J1411" s="98"/>
      <c r="K1411" s="14"/>
      <c r="L1411" s="14"/>
      <c r="M1411" s="14"/>
    </row>
    <row r="1412" spans="1:13" ht="90" x14ac:dyDescent="0.25">
      <c r="A1412" s="116" t="s">
        <v>1457</v>
      </c>
      <c r="B1412" s="123"/>
      <c r="C1412" s="116" t="s">
        <v>1455</v>
      </c>
      <c r="D1412" s="107" t="s">
        <v>2022</v>
      </c>
      <c r="E1412" s="107" t="s">
        <v>1461</v>
      </c>
      <c r="F1412" s="107" t="s">
        <v>80</v>
      </c>
      <c r="G1412" s="324" t="s">
        <v>9</v>
      </c>
      <c r="H1412" s="4" t="s">
        <v>9</v>
      </c>
      <c r="I1412" s="86" t="s">
        <v>9</v>
      </c>
      <c r="J1412" s="98"/>
      <c r="K1412" s="14"/>
      <c r="L1412" s="14"/>
      <c r="M1412" s="14"/>
    </row>
    <row r="1413" spans="1:13" ht="60" x14ac:dyDescent="0.25">
      <c r="A1413" s="117"/>
      <c r="B1413" s="123"/>
      <c r="C1413" s="117"/>
      <c r="D1413" s="107" t="s">
        <v>1333</v>
      </c>
      <c r="E1413" s="107" t="s">
        <v>16</v>
      </c>
      <c r="F1413" s="107" t="s">
        <v>159</v>
      </c>
      <c r="G1413" s="29">
        <v>137.36000000000001</v>
      </c>
      <c r="H1413" s="20">
        <v>145.12</v>
      </c>
      <c r="I1413" s="76">
        <v>145.12</v>
      </c>
      <c r="J1413" s="98"/>
      <c r="K1413" s="14"/>
      <c r="L1413" s="14"/>
      <c r="M1413" s="14"/>
    </row>
    <row r="1414" spans="1:13" ht="75" x14ac:dyDescent="0.25">
      <c r="A1414" s="116" t="s">
        <v>1459</v>
      </c>
      <c r="B1414" s="123"/>
      <c r="C1414" s="116" t="s">
        <v>1455</v>
      </c>
      <c r="D1414" s="107" t="s">
        <v>2023</v>
      </c>
      <c r="E1414" s="107" t="s">
        <v>1463</v>
      </c>
      <c r="F1414" s="107" t="s">
        <v>80</v>
      </c>
      <c r="G1414" s="324" t="s">
        <v>7</v>
      </c>
      <c r="H1414" s="4" t="s">
        <v>7</v>
      </c>
      <c r="I1414" s="86" t="s">
        <v>7</v>
      </c>
      <c r="J1414" s="98"/>
      <c r="K1414" s="14"/>
      <c r="L1414" s="14"/>
      <c r="M1414" s="14"/>
    </row>
    <row r="1415" spans="1:13" ht="60" x14ac:dyDescent="0.25">
      <c r="A1415" s="117"/>
      <c r="B1415" s="123"/>
      <c r="C1415" s="117"/>
      <c r="D1415" s="107" t="s">
        <v>1333</v>
      </c>
      <c r="E1415" s="107" t="s">
        <v>16</v>
      </c>
      <c r="F1415" s="107" t="s">
        <v>159</v>
      </c>
      <c r="G1415" s="29">
        <v>66.2</v>
      </c>
      <c r="H1415" s="20">
        <v>69.94</v>
      </c>
      <c r="I1415" s="76">
        <v>69.94</v>
      </c>
      <c r="J1415" s="98"/>
      <c r="K1415" s="14"/>
      <c r="L1415" s="14"/>
      <c r="M1415" s="14"/>
    </row>
    <row r="1416" spans="1:13" ht="75" x14ac:dyDescent="0.25">
      <c r="A1416" s="116" t="s">
        <v>1460</v>
      </c>
      <c r="B1416" s="123"/>
      <c r="C1416" s="116" t="s">
        <v>1455</v>
      </c>
      <c r="D1416" s="107" t="s">
        <v>2024</v>
      </c>
      <c r="E1416" s="107" t="s">
        <v>1465</v>
      </c>
      <c r="F1416" s="107" t="s">
        <v>80</v>
      </c>
      <c r="G1416" s="324" t="s">
        <v>495</v>
      </c>
      <c r="H1416" s="4" t="s">
        <v>495</v>
      </c>
      <c r="I1416" s="86" t="s">
        <v>495</v>
      </c>
      <c r="J1416" s="98"/>
      <c r="K1416" s="14"/>
      <c r="L1416" s="14"/>
      <c r="M1416" s="14"/>
    </row>
    <row r="1417" spans="1:13" ht="60" x14ac:dyDescent="0.25">
      <c r="A1417" s="117"/>
      <c r="B1417" s="123"/>
      <c r="C1417" s="117"/>
      <c r="D1417" s="107" t="s">
        <v>1333</v>
      </c>
      <c r="E1417" s="107" t="s">
        <v>16</v>
      </c>
      <c r="F1417" s="107" t="s">
        <v>159</v>
      </c>
      <c r="G1417" s="29">
        <v>502.39</v>
      </c>
      <c r="H1417" s="20">
        <v>530.79</v>
      </c>
      <c r="I1417" s="76">
        <v>530.79</v>
      </c>
      <c r="J1417" s="98"/>
      <c r="K1417" s="14"/>
      <c r="L1417" s="14"/>
      <c r="M1417" s="14"/>
    </row>
    <row r="1418" spans="1:13" ht="75" x14ac:dyDescent="0.25">
      <c r="A1418" s="116" t="s">
        <v>1462</v>
      </c>
      <c r="B1418" s="123"/>
      <c r="C1418" s="116" t="s">
        <v>1200</v>
      </c>
      <c r="D1418" s="107" t="s">
        <v>2025</v>
      </c>
      <c r="E1418" s="107" t="s">
        <v>1467</v>
      </c>
      <c r="F1418" s="107" t="s">
        <v>80</v>
      </c>
      <c r="G1418" s="324" t="s">
        <v>46</v>
      </c>
      <c r="H1418" s="4" t="s">
        <v>46</v>
      </c>
      <c r="I1418" s="86" t="s">
        <v>44</v>
      </c>
      <c r="J1418" s="98"/>
      <c r="K1418" s="14"/>
      <c r="L1418" s="14"/>
      <c r="M1418" s="14"/>
    </row>
    <row r="1419" spans="1:13" ht="60" x14ac:dyDescent="0.25">
      <c r="A1419" s="117"/>
      <c r="B1419" s="123"/>
      <c r="C1419" s="117"/>
      <c r="D1419" s="107" t="s">
        <v>514</v>
      </c>
      <c r="E1419" s="107" t="s">
        <v>16</v>
      </c>
      <c r="F1419" s="107" t="s">
        <v>159</v>
      </c>
      <c r="G1419" s="29">
        <v>457.51</v>
      </c>
      <c r="H1419" s="20">
        <v>483.37</v>
      </c>
      <c r="I1419" s="76">
        <v>483.37</v>
      </c>
      <c r="J1419" s="98"/>
      <c r="K1419" s="14"/>
      <c r="L1419" s="14"/>
      <c r="M1419" s="14"/>
    </row>
    <row r="1420" spans="1:13" ht="90" x14ac:dyDescent="0.25">
      <c r="A1420" s="116" t="s">
        <v>1464</v>
      </c>
      <c r="B1420" s="123"/>
      <c r="C1420" s="116" t="s">
        <v>1200</v>
      </c>
      <c r="D1420" s="107" t="s">
        <v>2026</v>
      </c>
      <c r="E1420" s="107" t="s">
        <v>1468</v>
      </c>
      <c r="F1420" s="107" t="s">
        <v>80</v>
      </c>
      <c r="G1420" s="324" t="s">
        <v>46</v>
      </c>
      <c r="H1420" s="4" t="s">
        <v>46</v>
      </c>
      <c r="I1420" s="86" t="s">
        <v>46</v>
      </c>
      <c r="J1420" s="98"/>
      <c r="K1420" s="14"/>
      <c r="L1420" s="14"/>
      <c r="M1420" s="14"/>
    </row>
    <row r="1421" spans="1:13" ht="60" x14ac:dyDescent="0.25">
      <c r="A1421" s="117"/>
      <c r="B1421" s="123"/>
      <c r="C1421" s="117"/>
      <c r="D1421" s="107" t="s">
        <v>1333</v>
      </c>
      <c r="E1421" s="107" t="s">
        <v>16</v>
      </c>
      <c r="F1421" s="107" t="s">
        <v>159</v>
      </c>
      <c r="G1421" s="333">
        <v>835.23</v>
      </c>
      <c r="H1421" s="15">
        <v>882.45</v>
      </c>
      <c r="I1421" s="90">
        <v>882.45</v>
      </c>
      <c r="J1421" s="98"/>
      <c r="K1421" s="14"/>
      <c r="L1421" s="14"/>
      <c r="M1421" s="14"/>
    </row>
    <row r="1422" spans="1:13" ht="90" x14ac:dyDescent="0.25">
      <c r="A1422" s="116" t="s">
        <v>1466</v>
      </c>
      <c r="B1422" s="123"/>
      <c r="C1422" s="116" t="s">
        <v>1200</v>
      </c>
      <c r="D1422" s="107" t="s">
        <v>2027</v>
      </c>
      <c r="E1422" s="107" t="s">
        <v>1471</v>
      </c>
      <c r="F1422" s="107" t="s">
        <v>80</v>
      </c>
      <c r="G1422" s="325">
        <v>8</v>
      </c>
      <c r="H1422" s="18">
        <v>8</v>
      </c>
      <c r="I1422" s="88">
        <v>8</v>
      </c>
      <c r="J1422" s="98"/>
      <c r="K1422" s="14"/>
      <c r="L1422" s="14"/>
      <c r="M1422" s="14"/>
    </row>
    <row r="1423" spans="1:13" ht="60" x14ac:dyDescent="0.25">
      <c r="A1423" s="117"/>
      <c r="B1423" s="123"/>
      <c r="C1423" s="117"/>
      <c r="D1423" s="107" t="s">
        <v>1440</v>
      </c>
      <c r="E1423" s="107" t="s">
        <v>16</v>
      </c>
      <c r="F1423" s="107" t="s">
        <v>159</v>
      </c>
      <c r="G1423" s="334">
        <v>1451</v>
      </c>
      <c r="H1423" s="335">
        <v>2063.9</v>
      </c>
      <c r="I1423" s="336">
        <v>2063.9</v>
      </c>
      <c r="J1423" s="98"/>
      <c r="K1423" s="14"/>
      <c r="L1423" s="14"/>
      <c r="M1423" s="14"/>
    </row>
    <row r="1424" spans="1:13" ht="90" x14ac:dyDescent="0.25">
      <c r="A1424" s="116" t="s">
        <v>1469</v>
      </c>
      <c r="B1424" s="123"/>
      <c r="C1424" s="116" t="s">
        <v>1200</v>
      </c>
      <c r="D1424" s="107" t="s">
        <v>2028</v>
      </c>
      <c r="E1424" s="107" t="s">
        <v>1472</v>
      </c>
      <c r="F1424" s="107" t="s">
        <v>80</v>
      </c>
      <c r="G1424" s="325">
        <v>5</v>
      </c>
      <c r="H1424" s="18">
        <v>5</v>
      </c>
      <c r="I1424" s="88">
        <v>5</v>
      </c>
      <c r="J1424" s="98"/>
      <c r="K1424" s="14"/>
      <c r="L1424" s="14"/>
      <c r="M1424" s="14"/>
    </row>
    <row r="1425" spans="1:13" ht="60" x14ac:dyDescent="0.25">
      <c r="A1425" s="117"/>
      <c r="B1425" s="123"/>
      <c r="C1425" s="117"/>
      <c r="D1425" s="107" t="s">
        <v>1440</v>
      </c>
      <c r="E1425" s="107" t="s">
        <v>16</v>
      </c>
      <c r="F1425" s="107" t="s">
        <v>159</v>
      </c>
      <c r="G1425" s="334">
        <v>7225.2</v>
      </c>
      <c r="H1425" s="335">
        <v>10277.200000000001</v>
      </c>
      <c r="I1425" s="336">
        <v>10277.200000000001</v>
      </c>
      <c r="J1425" s="98"/>
      <c r="K1425" s="14"/>
      <c r="L1425" s="14"/>
      <c r="M1425" s="14"/>
    </row>
    <row r="1426" spans="1:13" ht="90" x14ac:dyDescent="0.25">
      <c r="A1426" s="116" t="s">
        <v>1470</v>
      </c>
      <c r="B1426" s="123"/>
      <c r="C1426" s="116" t="s">
        <v>1200</v>
      </c>
      <c r="D1426" s="107" t="s">
        <v>2029</v>
      </c>
      <c r="E1426" s="107" t="s">
        <v>1474</v>
      </c>
      <c r="F1426" s="107" t="s">
        <v>80</v>
      </c>
      <c r="G1426" s="325">
        <v>7</v>
      </c>
      <c r="H1426" s="18">
        <v>20</v>
      </c>
      <c r="I1426" s="88">
        <v>7</v>
      </c>
      <c r="J1426" s="98"/>
      <c r="K1426" s="14"/>
      <c r="L1426" s="14"/>
      <c r="M1426" s="14"/>
    </row>
    <row r="1427" spans="1:13" ht="60" x14ac:dyDescent="0.25">
      <c r="A1427" s="117"/>
      <c r="B1427" s="123"/>
      <c r="C1427" s="117"/>
      <c r="D1427" s="107" t="s">
        <v>515</v>
      </c>
      <c r="E1427" s="107" t="s">
        <v>16</v>
      </c>
      <c r="F1427" s="107" t="s">
        <v>159</v>
      </c>
      <c r="G1427" s="29">
        <v>778.3</v>
      </c>
      <c r="H1427" s="20">
        <v>1527</v>
      </c>
      <c r="I1427" s="76">
        <v>1527</v>
      </c>
      <c r="J1427" s="98"/>
      <c r="K1427" s="14"/>
      <c r="L1427" s="14"/>
      <c r="M1427" s="14"/>
    </row>
    <row r="1428" spans="1:13" ht="75" x14ac:dyDescent="0.25">
      <c r="A1428" s="116" t="s">
        <v>1473</v>
      </c>
      <c r="B1428" s="123"/>
      <c r="C1428" s="116" t="s">
        <v>1455</v>
      </c>
      <c r="D1428" s="107" t="s">
        <v>2030</v>
      </c>
      <c r="E1428" s="107" t="s">
        <v>1477</v>
      </c>
      <c r="F1428" s="107" t="s">
        <v>80</v>
      </c>
      <c r="G1428" s="324" t="s">
        <v>494</v>
      </c>
      <c r="H1428" s="4" t="s">
        <v>506</v>
      </c>
      <c r="I1428" s="86" t="str">
        <f>H1428</f>
        <v>112</v>
      </c>
      <c r="J1428" s="98"/>
      <c r="K1428" s="14"/>
      <c r="L1428" s="14"/>
      <c r="M1428" s="14"/>
    </row>
    <row r="1429" spans="1:13" ht="60" x14ac:dyDescent="0.25">
      <c r="A1429" s="117"/>
      <c r="B1429" s="123"/>
      <c r="C1429" s="117"/>
      <c r="D1429" s="107" t="s">
        <v>516</v>
      </c>
      <c r="E1429" s="107" t="s">
        <v>16</v>
      </c>
      <c r="F1429" s="107" t="s">
        <v>159</v>
      </c>
      <c r="G1429" s="29">
        <v>995.35</v>
      </c>
      <c r="H1429" s="20">
        <v>1952.93</v>
      </c>
      <c r="I1429" s="76">
        <v>1952.93</v>
      </c>
      <c r="J1429" s="98"/>
      <c r="K1429" s="14"/>
      <c r="L1429" s="14"/>
      <c r="M1429" s="14"/>
    </row>
    <row r="1430" spans="1:13" ht="77.25" customHeight="1" x14ac:dyDescent="0.25">
      <c r="A1430" s="116" t="s">
        <v>1475</v>
      </c>
      <c r="B1430" s="123"/>
      <c r="C1430" s="116" t="s">
        <v>1455</v>
      </c>
      <c r="D1430" s="107" t="s">
        <v>2031</v>
      </c>
      <c r="E1430" s="107" t="s">
        <v>1479</v>
      </c>
      <c r="F1430" s="107" t="s">
        <v>80</v>
      </c>
      <c r="G1430" s="324" t="s">
        <v>498</v>
      </c>
      <c r="H1430" s="4" t="s">
        <v>507</v>
      </c>
      <c r="I1430" s="86" t="str">
        <f>H1430</f>
        <v>120</v>
      </c>
      <c r="J1430" s="98"/>
      <c r="K1430" s="14"/>
      <c r="L1430" s="14"/>
      <c r="M1430" s="14"/>
    </row>
    <row r="1431" spans="1:13" ht="60" x14ac:dyDescent="0.25">
      <c r="A1431" s="117"/>
      <c r="B1431" s="123"/>
      <c r="C1431" s="117"/>
      <c r="D1431" s="107" t="s">
        <v>1480</v>
      </c>
      <c r="E1431" s="107" t="s">
        <v>16</v>
      </c>
      <c r="F1431" s="107" t="s">
        <v>159</v>
      </c>
      <c r="G1431" s="29">
        <v>16301.85</v>
      </c>
      <c r="H1431" s="20">
        <v>20561.82</v>
      </c>
      <c r="I1431" s="76">
        <v>20561.82</v>
      </c>
      <c r="J1431" s="98"/>
      <c r="K1431" s="14"/>
      <c r="L1431" s="14"/>
      <c r="M1431" s="14"/>
    </row>
    <row r="1432" spans="1:13" ht="76.5" customHeight="1" x14ac:dyDescent="0.25">
      <c r="A1432" s="116" t="s">
        <v>1476</v>
      </c>
      <c r="B1432" s="123"/>
      <c r="C1432" s="116" t="s">
        <v>1455</v>
      </c>
      <c r="D1432" s="107" t="s">
        <v>2032</v>
      </c>
      <c r="E1432" s="107" t="s">
        <v>1482</v>
      </c>
      <c r="F1432" s="107" t="s">
        <v>80</v>
      </c>
      <c r="G1432" s="324" t="s">
        <v>129</v>
      </c>
      <c r="H1432" s="4" t="s">
        <v>72</v>
      </c>
      <c r="I1432" s="86" t="str">
        <f>H1432</f>
        <v>18</v>
      </c>
      <c r="J1432" s="98"/>
      <c r="K1432" s="14"/>
      <c r="L1432" s="14"/>
      <c r="M1432" s="14"/>
    </row>
    <row r="1433" spans="1:13" ht="60" x14ac:dyDescent="0.25">
      <c r="A1433" s="117"/>
      <c r="B1433" s="123"/>
      <c r="C1433" s="117"/>
      <c r="D1433" s="107" t="s">
        <v>1480</v>
      </c>
      <c r="E1433" s="107" t="s">
        <v>16</v>
      </c>
      <c r="F1433" s="107" t="s">
        <v>159</v>
      </c>
      <c r="G1433" s="29">
        <v>6192.65</v>
      </c>
      <c r="H1433" s="20">
        <v>7322.73</v>
      </c>
      <c r="I1433" s="76">
        <v>7322.73</v>
      </c>
      <c r="J1433" s="98"/>
      <c r="K1433" s="14"/>
      <c r="L1433" s="14"/>
      <c r="M1433" s="14"/>
    </row>
    <row r="1434" spans="1:13" ht="75" x14ac:dyDescent="0.25">
      <c r="A1434" s="116" t="s">
        <v>1478</v>
      </c>
      <c r="B1434" s="123"/>
      <c r="C1434" s="116" t="s">
        <v>1455</v>
      </c>
      <c r="D1434" s="107" t="s">
        <v>2033</v>
      </c>
      <c r="E1434" s="107" t="s">
        <v>1484</v>
      </c>
      <c r="F1434" s="107" t="s">
        <v>80</v>
      </c>
      <c r="G1434" s="324" t="s">
        <v>15</v>
      </c>
      <c r="H1434" s="4" t="s">
        <v>15</v>
      </c>
      <c r="I1434" s="86" t="str">
        <f>H1434</f>
        <v>9</v>
      </c>
      <c r="J1434" s="98"/>
      <c r="K1434" s="14"/>
      <c r="L1434" s="14"/>
      <c r="M1434" s="14"/>
    </row>
    <row r="1435" spans="1:13" ht="60" x14ac:dyDescent="0.25">
      <c r="A1435" s="117"/>
      <c r="B1435" s="123"/>
      <c r="C1435" s="117"/>
      <c r="D1435" s="107" t="s">
        <v>1485</v>
      </c>
      <c r="E1435" s="107" t="s">
        <v>16</v>
      </c>
      <c r="F1435" s="107" t="s">
        <v>159</v>
      </c>
      <c r="G1435" s="29">
        <v>3583.38</v>
      </c>
      <c r="H1435" s="20">
        <v>4708.1099999999997</v>
      </c>
      <c r="I1435" s="76">
        <v>4708.1099999999997</v>
      </c>
      <c r="J1435" s="98"/>
      <c r="K1435" s="14"/>
      <c r="L1435" s="14"/>
      <c r="M1435" s="14"/>
    </row>
    <row r="1436" spans="1:13" ht="60.75" customHeight="1" x14ac:dyDescent="0.25">
      <c r="A1436" s="116" t="s">
        <v>1481</v>
      </c>
      <c r="B1436" s="123"/>
      <c r="C1436" s="116" t="s">
        <v>508</v>
      </c>
      <c r="D1436" s="107" t="s">
        <v>2034</v>
      </c>
      <c r="E1436" s="107" t="s">
        <v>509</v>
      </c>
      <c r="F1436" s="107" t="s">
        <v>80</v>
      </c>
      <c r="G1436" s="324" t="s">
        <v>168</v>
      </c>
      <c r="H1436" s="4" t="s">
        <v>167</v>
      </c>
      <c r="I1436" s="86" t="str">
        <f>H1436</f>
        <v>28</v>
      </c>
      <c r="J1436" s="98"/>
      <c r="K1436" s="14"/>
      <c r="L1436" s="14"/>
      <c r="M1436" s="14"/>
    </row>
    <row r="1437" spans="1:13" ht="60" x14ac:dyDescent="0.25">
      <c r="A1437" s="117"/>
      <c r="B1437" s="123"/>
      <c r="C1437" s="117"/>
      <c r="D1437" s="107" t="s">
        <v>1480</v>
      </c>
      <c r="E1437" s="107" t="s">
        <v>16</v>
      </c>
      <c r="F1437" s="107" t="s">
        <v>159</v>
      </c>
      <c r="G1437" s="29">
        <v>695.47</v>
      </c>
      <c r="H1437" s="20">
        <v>695.47</v>
      </c>
      <c r="I1437" s="76">
        <v>695.47</v>
      </c>
      <c r="J1437" s="98"/>
      <c r="K1437" s="14"/>
      <c r="L1437" s="14"/>
      <c r="M1437" s="14"/>
    </row>
    <row r="1438" spans="1:13" ht="78.75" customHeight="1" x14ac:dyDescent="0.25">
      <c r="A1438" s="116" t="s">
        <v>1483</v>
      </c>
      <c r="B1438" s="123"/>
      <c r="C1438" s="116" t="s">
        <v>1488</v>
      </c>
      <c r="D1438" s="107" t="s">
        <v>2035</v>
      </c>
      <c r="E1438" s="107" t="s">
        <v>1489</v>
      </c>
      <c r="F1438" s="107" t="s">
        <v>80</v>
      </c>
      <c r="G1438" s="325">
        <v>70</v>
      </c>
      <c r="H1438" s="337">
        <v>70</v>
      </c>
      <c r="I1438" s="338">
        <v>70</v>
      </c>
      <c r="J1438" s="98"/>
      <c r="K1438" s="14"/>
      <c r="L1438" s="14"/>
      <c r="M1438" s="14"/>
    </row>
    <row r="1439" spans="1:13" ht="66.75" customHeight="1" x14ac:dyDescent="0.25">
      <c r="A1439" s="117"/>
      <c r="B1439" s="123"/>
      <c r="C1439" s="117"/>
      <c r="D1439" s="107" t="s">
        <v>1440</v>
      </c>
      <c r="E1439" s="107" t="s">
        <v>16</v>
      </c>
      <c r="F1439" s="107" t="s">
        <v>159</v>
      </c>
      <c r="G1439" s="29">
        <v>4403.8</v>
      </c>
      <c r="H1439" s="20">
        <f>3600.1-92.4</f>
        <v>3507.7</v>
      </c>
      <c r="I1439" s="76">
        <v>3600.1</v>
      </c>
      <c r="J1439" s="98"/>
      <c r="K1439" s="14"/>
      <c r="L1439" s="14"/>
      <c r="M1439" s="14"/>
    </row>
    <row r="1440" spans="1:13" ht="60" x14ac:dyDescent="0.25">
      <c r="A1440" s="116" t="s">
        <v>1486</v>
      </c>
      <c r="B1440" s="123"/>
      <c r="C1440" s="116" t="s">
        <v>510</v>
      </c>
      <c r="D1440" s="107" t="s">
        <v>1936</v>
      </c>
      <c r="E1440" s="107" t="s">
        <v>36</v>
      </c>
      <c r="F1440" s="107" t="s">
        <v>85</v>
      </c>
      <c r="G1440" s="324" t="s">
        <v>9</v>
      </c>
      <c r="H1440" s="4" t="s">
        <v>9</v>
      </c>
      <c r="I1440" s="86" t="s">
        <v>9</v>
      </c>
      <c r="J1440" s="98"/>
      <c r="K1440" s="14"/>
      <c r="L1440" s="14"/>
      <c r="M1440" s="14"/>
    </row>
    <row r="1441" spans="1:13" ht="60" x14ac:dyDescent="0.25">
      <c r="A1441" s="117"/>
      <c r="B1441" s="123"/>
      <c r="C1441" s="117"/>
      <c r="D1441" s="107" t="s">
        <v>1333</v>
      </c>
      <c r="E1441" s="107" t="s">
        <v>16</v>
      </c>
      <c r="F1441" s="107" t="s">
        <v>159</v>
      </c>
      <c r="G1441" s="29">
        <v>1050.0999999999999</v>
      </c>
      <c r="H1441" s="20">
        <f>1242.3-32.5</f>
        <v>1209.8</v>
      </c>
      <c r="I1441" s="76">
        <v>1209.8</v>
      </c>
      <c r="J1441" s="98"/>
      <c r="K1441" s="14"/>
      <c r="L1441" s="14"/>
      <c r="M1441" s="14"/>
    </row>
    <row r="1442" spans="1:13" ht="60" x14ac:dyDescent="0.25">
      <c r="A1442" s="116" t="s">
        <v>1487</v>
      </c>
      <c r="B1442" s="123"/>
      <c r="C1442" s="116" t="s">
        <v>113</v>
      </c>
      <c r="D1442" s="107" t="s">
        <v>2036</v>
      </c>
      <c r="E1442" s="107" t="s">
        <v>141</v>
      </c>
      <c r="F1442" s="107" t="s">
        <v>85</v>
      </c>
      <c r="G1442" s="324" t="s">
        <v>130</v>
      </c>
      <c r="H1442" s="4" t="s">
        <v>130</v>
      </c>
      <c r="I1442" s="86" t="s">
        <v>130</v>
      </c>
      <c r="J1442" s="98"/>
      <c r="K1442" s="14"/>
      <c r="L1442" s="14"/>
      <c r="M1442" s="14"/>
    </row>
    <row r="1443" spans="1:13" ht="66.75" customHeight="1" x14ac:dyDescent="0.25">
      <c r="A1443" s="117"/>
      <c r="B1443" s="123"/>
      <c r="C1443" s="117"/>
      <c r="D1443" s="107" t="s">
        <v>1340</v>
      </c>
      <c r="E1443" s="107" t="s">
        <v>16</v>
      </c>
      <c r="F1443" s="107" t="s">
        <v>159</v>
      </c>
      <c r="G1443" s="29">
        <v>1169.9000000000001</v>
      </c>
      <c r="H1443" s="20">
        <v>1150.4000000000001</v>
      </c>
      <c r="I1443" s="76">
        <v>1150.4000000000001</v>
      </c>
      <c r="J1443" s="98"/>
      <c r="K1443" s="14"/>
      <c r="L1443" s="14"/>
      <c r="M1443" s="14"/>
    </row>
    <row r="1444" spans="1:13" ht="90" x14ac:dyDescent="0.25">
      <c r="A1444" s="116" t="s">
        <v>1490</v>
      </c>
      <c r="B1444" s="123"/>
      <c r="C1444" s="116" t="s">
        <v>113</v>
      </c>
      <c r="D1444" s="107" t="s">
        <v>2037</v>
      </c>
      <c r="E1444" s="107" t="s">
        <v>511</v>
      </c>
      <c r="F1444" s="107" t="s">
        <v>85</v>
      </c>
      <c r="G1444" s="324" t="s">
        <v>512</v>
      </c>
      <c r="H1444" s="4" t="s">
        <v>512</v>
      </c>
      <c r="I1444" s="86" t="s">
        <v>512</v>
      </c>
      <c r="J1444" s="98"/>
      <c r="K1444" s="14"/>
      <c r="L1444" s="14"/>
      <c r="M1444" s="14"/>
    </row>
    <row r="1445" spans="1:13" ht="60" x14ac:dyDescent="0.25">
      <c r="A1445" s="117"/>
      <c r="B1445" s="123"/>
      <c r="C1445" s="117"/>
      <c r="D1445" s="107" t="s">
        <v>1333</v>
      </c>
      <c r="E1445" s="107" t="s">
        <v>16</v>
      </c>
      <c r="F1445" s="107" t="s">
        <v>159</v>
      </c>
      <c r="G1445" s="29">
        <v>3397.3</v>
      </c>
      <c r="H1445" s="20">
        <v>3340.8</v>
      </c>
      <c r="I1445" s="76">
        <v>3340.8</v>
      </c>
      <c r="J1445" s="98"/>
      <c r="K1445" s="14"/>
      <c r="L1445" s="14"/>
      <c r="M1445" s="14"/>
    </row>
    <row r="1446" spans="1:13" ht="60" customHeight="1" x14ac:dyDescent="0.25">
      <c r="A1446" s="116" t="s">
        <v>1491</v>
      </c>
      <c r="B1446" s="123"/>
      <c r="C1446" s="116" t="s">
        <v>190</v>
      </c>
      <c r="D1446" s="107" t="s">
        <v>1853</v>
      </c>
      <c r="E1446" s="107" t="s">
        <v>810</v>
      </c>
      <c r="F1446" s="107" t="s">
        <v>80</v>
      </c>
      <c r="G1446" s="325">
        <v>50</v>
      </c>
      <c r="H1446" s="337">
        <v>50</v>
      </c>
      <c r="I1446" s="338">
        <v>50</v>
      </c>
      <c r="J1446" s="98"/>
      <c r="K1446" s="14"/>
      <c r="L1446" s="14"/>
      <c r="M1446" s="14"/>
    </row>
    <row r="1447" spans="1:13" ht="60" x14ac:dyDescent="0.25">
      <c r="A1447" s="117"/>
      <c r="B1447" s="123"/>
      <c r="C1447" s="117"/>
      <c r="D1447" s="107" t="s">
        <v>1440</v>
      </c>
      <c r="E1447" s="107" t="s">
        <v>16</v>
      </c>
      <c r="F1447" s="107" t="s">
        <v>159</v>
      </c>
      <c r="G1447" s="29">
        <v>2751.2</v>
      </c>
      <c r="H1447" s="20">
        <v>2249</v>
      </c>
      <c r="I1447" s="76">
        <v>2249</v>
      </c>
      <c r="J1447" s="98"/>
      <c r="K1447" s="14"/>
      <c r="L1447" s="14"/>
      <c r="M1447" s="14"/>
    </row>
    <row r="1448" spans="1:13" ht="61.5" customHeight="1" x14ac:dyDescent="0.25">
      <c r="A1448" s="116" t="s">
        <v>1492</v>
      </c>
      <c r="B1448" s="123"/>
      <c r="C1448" s="116" t="s">
        <v>190</v>
      </c>
      <c r="D1448" s="107" t="s">
        <v>1853</v>
      </c>
      <c r="E1448" s="107" t="s">
        <v>810</v>
      </c>
      <c r="F1448" s="107" t="s">
        <v>80</v>
      </c>
      <c r="G1448" s="324" t="s">
        <v>164</v>
      </c>
      <c r="H1448" s="4" t="s">
        <v>164</v>
      </c>
      <c r="I1448" s="86" t="s">
        <v>164</v>
      </c>
      <c r="J1448" s="98"/>
      <c r="K1448" s="14"/>
      <c r="L1448" s="14"/>
      <c r="M1448" s="14"/>
    </row>
    <row r="1449" spans="1:13" ht="60" x14ac:dyDescent="0.25">
      <c r="A1449" s="117"/>
      <c r="B1449" s="123"/>
      <c r="C1449" s="141"/>
      <c r="D1449" s="107" t="s">
        <v>1340</v>
      </c>
      <c r="E1449" s="107" t="s">
        <v>16</v>
      </c>
      <c r="F1449" s="107" t="s">
        <v>159</v>
      </c>
      <c r="G1449" s="29">
        <v>2204</v>
      </c>
      <c r="H1449" s="20">
        <f>2825-805.85</f>
        <v>2019.15</v>
      </c>
      <c r="I1449" s="76">
        <v>2019.15</v>
      </c>
      <c r="J1449" s="98"/>
      <c r="K1449" s="14"/>
      <c r="L1449" s="14"/>
      <c r="M1449" s="14"/>
    </row>
    <row r="1450" spans="1:13" ht="60" x14ac:dyDescent="0.25">
      <c r="A1450" s="116" t="s">
        <v>1493</v>
      </c>
      <c r="B1450" s="123"/>
      <c r="C1450" s="116" t="s">
        <v>194</v>
      </c>
      <c r="D1450" s="107" t="s">
        <v>1894</v>
      </c>
      <c r="E1450" s="107" t="s">
        <v>810</v>
      </c>
      <c r="F1450" s="107" t="s">
        <v>80</v>
      </c>
      <c r="G1450" s="325">
        <v>50</v>
      </c>
      <c r="H1450" s="337">
        <v>50</v>
      </c>
      <c r="I1450" s="338">
        <v>50</v>
      </c>
      <c r="J1450" s="98"/>
      <c r="K1450" s="14"/>
      <c r="L1450" s="14"/>
      <c r="M1450" s="14"/>
    </row>
    <row r="1451" spans="1:13" ht="60" x14ac:dyDescent="0.25">
      <c r="A1451" s="117"/>
      <c r="B1451" s="123"/>
      <c r="C1451" s="117"/>
      <c r="D1451" s="107" t="s">
        <v>1440</v>
      </c>
      <c r="E1451" s="107" t="s">
        <v>16</v>
      </c>
      <c r="F1451" s="107" t="s">
        <v>159</v>
      </c>
      <c r="G1451" s="29">
        <v>892.1</v>
      </c>
      <c r="H1451" s="20">
        <v>1770.8</v>
      </c>
      <c r="I1451" s="76">
        <v>1770.8</v>
      </c>
      <c r="J1451" s="98"/>
      <c r="K1451" s="14"/>
      <c r="L1451" s="14"/>
      <c r="M1451" s="14"/>
    </row>
    <row r="1452" spans="1:13" ht="63.75" customHeight="1" x14ac:dyDescent="0.25">
      <c r="A1452" s="116" t="s">
        <v>1494</v>
      </c>
      <c r="B1452" s="123"/>
      <c r="C1452" s="116" t="s">
        <v>194</v>
      </c>
      <c r="D1452" s="107" t="s">
        <v>1894</v>
      </c>
      <c r="E1452" s="107" t="s">
        <v>810</v>
      </c>
      <c r="F1452" s="107" t="s">
        <v>80</v>
      </c>
      <c r="G1452" s="324" t="s">
        <v>164</v>
      </c>
      <c r="H1452" s="4" t="s">
        <v>164</v>
      </c>
      <c r="I1452" s="86" t="s">
        <v>164</v>
      </c>
      <c r="J1452" s="98"/>
      <c r="K1452" s="14"/>
      <c r="L1452" s="14"/>
      <c r="M1452" s="14"/>
    </row>
    <row r="1453" spans="1:13" ht="60" x14ac:dyDescent="0.25">
      <c r="A1453" s="117"/>
      <c r="B1453" s="123"/>
      <c r="C1453" s="141"/>
      <c r="D1453" s="107" t="s">
        <v>1333</v>
      </c>
      <c r="E1453" s="107" t="s">
        <v>16</v>
      </c>
      <c r="F1453" s="107" t="s">
        <v>159</v>
      </c>
      <c r="G1453" s="29">
        <v>1597.2</v>
      </c>
      <c r="H1453" s="20">
        <f>1239-413.48</f>
        <v>825.52</v>
      </c>
      <c r="I1453" s="76">
        <v>825.52</v>
      </c>
      <c r="J1453" s="98"/>
      <c r="K1453" s="14"/>
      <c r="L1453" s="14"/>
      <c r="M1453" s="14"/>
    </row>
    <row r="1454" spans="1:13" ht="77.25" customHeight="1" x14ac:dyDescent="0.25">
      <c r="A1454" s="116" t="s">
        <v>1495</v>
      </c>
      <c r="B1454" s="123"/>
      <c r="C1454" s="116" t="s">
        <v>275</v>
      </c>
      <c r="D1454" s="107" t="s">
        <v>1931</v>
      </c>
      <c r="E1454" s="107" t="s">
        <v>1498</v>
      </c>
      <c r="F1454" s="107" t="s">
        <v>85</v>
      </c>
      <c r="G1454" s="324" t="s">
        <v>46</v>
      </c>
      <c r="H1454" s="4" t="s">
        <v>12</v>
      </c>
      <c r="I1454" s="86" t="s">
        <v>12</v>
      </c>
      <c r="J1454" s="98"/>
      <c r="K1454" s="14"/>
      <c r="L1454" s="14"/>
      <c r="M1454" s="14"/>
    </row>
    <row r="1455" spans="1:13" ht="61.5" customHeight="1" x14ac:dyDescent="0.25">
      <c r="A1455" s="117"/>
      <c r="B1455" s="123"/>
      <c r="C1455" s="117"/>
      <c r="D1455" s="107" t="s">
        <v>1333</v>
      </c>
      <c r="E1455" s="107" t="s">
        <v>16</v>
      </c>
      <c r="F1455" s="107" t="s">
        <v>159</v>
      </c>
      <c r="G1455" s="29">
        <v>1884.5</v>
      </c>
      <c r="H1455" s="20">
        <f>3312-80.69-791.7-1826.43</f>
        <v>613.17999999999961</v>
      </c>
      <c r="I1455" s="76">
        <v>2439.6099999999997</v>
      </c>
      <c r="J1455" s="98"/>
      <c r="K1455" s="14"/>
      <c r="L1455" s="14"/>
      <c r="M1455" s="14"/>
    </row>
    <row r="1456" spans="1:13" ht="76.5" customHeight="1" x14ac:dyDescent="0.25">
      <c r="A1456" s="116" t="s">
        <v>1496</v>
      </c>
      <c r="B1456" s="123"/>
      <c r="C1456" s="116" t="s">
        <v>275</v>
      </c>
      <c r="D1456" s="107" t="s">
        <v>1931</v>
      </c>
      <c r="E1456" s="107" t="s">
        <v>1498</v>
      </c>
      <c r="F1456" s="107" t="s">
        <v>85</v>
      </c>
      <c r="G1456" s="324">
        <v>62</v>
      </c>
      <c r="H1456" s="4">
        <v>5</v>
      </c>
      <c r="I1456" s="86">
        <v>5</v>
      </c>
      <c r="J1456" s="98"/>
      <c r="K1456" s="14"/>
      <c r="L1456" s="14"/>
      <c r="M1456" s="14"/>
    </row>
    <row r="1457" spans="1:13" ht="61.5" customHeight="1" x14ac:dyDescent="0.25">
      <c r="A1457" s="117"/>
      <c r="B1457" s="123"/>
      <c r="C1457" s="117"/>
      <c r="D1457" s="107" t="s">
        <v>1485</v>
      </c>
      <c r="E1457" s="107" t="s">
        <v>16</v>
      </c>
      <c r="F1457" s="107" t="s">
        <v>159</v>
      </c>
      <c r="G1457" s="29">
        <v>1992.2</v>
      </c>
      <c r="H1457" s="20">
        <v>1021.52</v>
      </c>
      <c r="I1457" s="76">
        <v>1021.52</v>
      </c>
      <c r="J1457" s="98"/>
      <c r="K1457" s="14"/>
      <c r="L1457" s="14"/>
      <c r="M1457" s="14"/>
    </row>
    <row r="1458" spans="1:13" ht="75.75" customHeight="1" x14ac:dyDescent="0.25">
      <c r="A1458" s="116" t="s">
        <v>1497</v>
      </c>
      <c r="B1458" s="123"/>
      <c r="C1458" s="116" t="s">
        <v>275</v>
      </c>
      <c r="D1458" s="100" t="s">
        <v>1931</v>
      </c>
      <c r="E1458" s="107" t="s">
        <v>1498</v>
      </c>
      <c r="F1458" s="107" t="s">
        <v>85</v>
      </c>
      <c r="G1458" s="325">
        <v>130</v>
      </c>
      <c r="H1458" s="337">
        <v>45</v>
      </c>
      <c r="I1458" s="338">
        <v>45</v>
      </c>
      <c r="J1458" s="98"/>
      <c r="K1458" s="14"/>
      <c r="L1458" s="14"/>
      <c r="M1458" s="14"/>
    </row>
    <row r="1459" spans="1:13" ht="65.25" customHeight="1" x14ac:dyDescent="0.25">
      <c r="A1459" s="117"/>
      <c r="B1459" s="124"/>
      <c r="C1459" s="117"/>
      <c r="D1459" s="107" t="s">
        <v>1340</v>
      </c>
      <c r="E1459" s="107" t="s">
        <v>16</v>
      </c>
      <c r="F1459" s="107" t="s">
        <v>159</v>
      </c>
      <c r="G1459" s="29">
        <v>3083.98</v>
      </c>
      <c r="H1459" s="20">
        <v>1685.07</v>
      </c>
      <c r="I1459" s="76">
        <v>1559.43</v>
      </c>
      <c r="J1459" s="98"/>
      <c r="K1459" s="14"/>
      <c r="L1459" s="14"/>
      <c r="M1459" s="14"/>
    </row>
    <row r="1460" spans="1:13" ht="21" customHeight="1" x14ac:dyDescent="0.25">
      <c r="A1460" s="144" t="s">
        <v>1330</v>
      </c>
      <c r="B1460" s="145"/>
      <c r="C1460" s="145"/>
      <c r="D1460" s="147"/>
      <c r="E1460" s="128" t="s">
        <v>17</v>
      </c>
      <c r="F1460" s="128" t="s">
        <v>159</v>
      </c>
      <c r="G1460" s="339">
        <f>G1278+G1280+G1282+G1284+G1286+G1288+G1290+G1292+G1293+G1295+G1297+G1299+G1301+G1303+G1305+G1307+G1309+G1311+G1313+G1315+G1317+G1319+G1321+G1323+G1325+G1327+G1329+G1331+G1333+G1335+G1337+G1339+G1341+G1343+G1345+G1347+G1349+G1351+G1353+G1355+G1357+G1359+G1361+G1363+G1365+G1367+G1369+G1371+G1373+G1375+G1377+G1379+G1381+G1383+G1385+G1387+G1389+G1391+G1393+G1395+G1397+G1399+G1401+G1403+G1405+G1407+G1409+G1411+G1413+G1415+G1417+G1419+G1421+G1423+G1425+G1427+G1429+G1431+G1433+G1435+G1437+G1439+G1441+G1443+G1445+G1447+G1449+G1451+G1453+G1455+G1457+G1459</f>
        <v>322089.65999999997</v>
      </c>
      <c r="H1460" s="339">
        <f t="shared" ref="H1460:I1460" si="1">H1278+H1280+H1282+H1284+H1286+H1288+H1290+H1292+H1293+H1295+H1297+H1299+H1301+H1303+H1305+H1307+H1309+H1311+H1313+H1315+H1317+H1319+H1321+H1323+H1325+H1327+H1329+H1331+H1333+H1335+H1337+H1339+H1341+H1343+H1345+H1347+H1349+H1351+H1353+H1355+H1357+H1359+H1361+H1363+H1365+H1367+H1369+H1371+H1373+H1375+H1377+H1379+H1381+H1383+H1385+H1387+H1389+H1391+H1393+H1395+H1397+H1399+H1401+H1403+H1405+H1407+H1409+H1411+H1413+H1415+H1417+H1419+H1421+H1423+H1425+H1427+H1429+H1431+H1433+H1435+H1437+H1439+H1441+H1443+H1445+H1447+H1449+H1451+H1453+H1455+H1457+H1459</f>
        <v>336215.76000000007</v>
      </c>
      <c r="I1460" s="340">
        <f t="shared" si="1"/>
        <v>337933.38</v>
      </c>
      <c r="J1460" s="98"/>
      <c r="K1460" s="14"/>
      <c r="L1460" s="14"/>
      <c r="M1460" s="45"/>
    </row>
    <row r="1461" spans="1:13" ht="45.75" customHeight="1" x14ac:dyDescent="0.25">
      <c r="A1461" s="144" t="s">
        <v>1331</v>
      </c>
      <c r="B1461" s="145"/>
      <c r="C1461" s="145"/>
      <c r="D1461" s="147"/>
      <c r="E1461" s="129"/>
      <c r="F1461" s="129"/>
      <c r="G1461" s="339">
        <f>G1460</f>
        <v>322089.65999999997</v>
      </c>
      <c r="H1461" s="339">
        <f>H1460</f>
        <v>336215.76000000007</v>
      </c>
      <c r="I1461" s="340">
        <f>+I1460</f>
        <v>337933.38</v>
      </c>
      <c r="J1461" s="98"/>
      <c r="K1461" s="14"/>
      <c r="L1461" s="14"/>
      <c r="M1461" s="14"/>
    </row>
    <row r="1462" spans="1:13" ht="15.75" x14ac:dyDescent="0.25">
      <c r="A1462" s="341" t="s">
        <v>519</v>
      </c>
      <c r="B1462" s="341"/>
      <c r="C1462" s="341"/>
      <c r="D1462" s="341"/>
      <c r="E1462" s="341"/>
      <c r="F1462" s="341"/>
      <c r="G1462" s="341"/>
      <c r="H1462" s="341"/>
      <c r="I1462" s="341"/>
      <c r="J1462" s="98"/>
    </row>
    <row r="1463" spans="1:13" ht="30" customHeight="1" x14ac:dyDescent="0.25">
      <c r="A1463" s="130" t="s">
        <v>1501</v>
      </c>
      <c r="B1463" s="122" t="s">
        <v>1499</v>
      </c>
      <c r="C1463" s="130" t="s">
        <v>197</v>
      </c>
      <c r="D1463" s="107" t="s">
        <v>1864</v>
      </c>
      <c r="E1463" s="107" t="s">
        <v>53</v>
      </c>
      <c r="F1463" s="107" t="s">
        <v>54</v>
      </c>
      <c r="G1463" s="19">
        <v>4000</v>
      </c>
      <c r="H1463" s="19">
        <v>4000</v>
      </c>
      <c r="I1463" s="73">
        <v>6422</v>
      </c>
      <c r="J1463" s="98"/>
    </row>
    <row r="1464" spans="1:13" ht="57.75" customHeight="1" x14ac:dyDescent="0.25">
      <c r="A1464" s="134"/>
      <c r="B1464" s="123"/>
      <c r="C1464" s="134"/>
      <c r="D1464" s="107" t="s">
        <v>1502</v>
      </c>
      <c r="E1464" s="107" t="s">
        <v>16</v>
      </c>
      <c r="F1464" s="107" t="s">
        <v>6</v>
      </c>
      <c r="G1464" s="20">
        <v>4524.8</v>
      </c>
      <c r="H1464" s="20">
        <v>4524.8</v>
      </c>
      <c r="I1464" s="76">
        <v>4524.8</v>
      </c>
      <c r="J1464" s="98"/>
    </row>
    <row r="1465" spans="1:13" ht="6.75" customHeight="1" x14ac:dyDescent="0.25">
      <c r="A1465" s="135" t="s">
        <v>1503</v>
      </c>
      <c r="B1465" s="123"/>
      <c r="C1465" s="117" t="s">
        <v>35</v>
      </c>
      <c r="D1465" s="117" t="s">
        <v>1602</v>
      </c>
      <c r="E1465" s="116" t="s">
        <v>36</v>
      </c>
      <c r="F1465" s="116" t="s">
        <v>103</v>
      </c>
      <c r="G1465" s="142">
        <v>50</v>
      </c>
      <c r="H1465" s="142">
        <v>50</v>
      </c>
      <c r="I1465" s="342">
        <v>54</v>
      </c>
      <c r="J1465" s="98"/>
    </row>
    <row r="1466" spans="1:13" ht="51.75" customHeight="1" x14ac:dyDescent="0.25">
      <c r="A1466" s="136"/>
      <c r="B1466" s="123"/>
      <c r="C1466" s="134"/>
      <c r="D1466" s="134"/>
      <c r="E1466" s="117"/>
      <c r="F1466" s="117"/>
      <c r="G1466" s="143"/>
      <c r="H1466" s="143"/>
      <c r="I1466" s="343"/>
      <c r="J1466" s="98"/>
    </row>
    <row r="1467" spans="1:13" ht="60" x14ac:dyDescent="0.25">
      <c r="A1467" s="137"/>
      <c r="B1467" s="123"/>
      <c r="C1467" s="119"/>
      <c r="D1467" s="99" t="s">
        <v>1502</v>
      </c>
      <c r="E1467" s="99" t="s">
        <v>16</v>
      </c>
      <c r="F1467" s="99" t="s">
        <v>6</v>
      </c>
      <c r="G1467" s="20">
        <v>11412.6</v>
      </c>
      <c r="H1467" s="20">
        <v>11412.6</v>
      </c>
      <c r="I1467" s="76">
        <v>11412.6</v>
      </c>
      <c r="J1467" s="98"/>
    </row>
    <row r="1468" spans="1:13" ht="30" x14ac:dyDescent="0.25">
      <c r="A1468" s="130" t="s">
        <v>1504</v>
      </c>
      <c r="B1468" s="123"/>
      <c r="C1468" s="130" t="s">
        <v>521</v>
      </c>
      <c r="D1468" s="130" t="s">
        <v>2038</v>
      </c>
      <c r="E1468" s="107" t="s">
        <v>520</v>
      </c>
      <c r="F1468" s="107" t="s">
        <v>80</v>
      </c>
      <c r="G1468" s="19">
        <v>19500</v>
      </c>
      <c r="H1468" s="19">
        <v>19500</v>
      </c>
      <c r="I1468" s="73">
        <v>22807</v>
      </c>
      <c r="J1468" s="98"/>
    </row>
    <row r="1469" spans="1:13" ht="34.5" customHeight="1" x14ac:dyDescent="0.25">
      <c r="A1469" s="134"/>
      <c r="B1469" s="123"/>
      <c r="C1469" s="134"/>
      <c r="D1469" s="134"/>
      <c r="E1469" s="107" t="s">
        <v>36</v>
      </c>
      <c r="F1469" s="107" t="s">
        <v>103</v>
      </c>
      <c r="G1469" s="19">
        <v>70</v>
      </c>
      <c r="H1469" s="19">
        <v>70</v>
      </c>
      <c r="I1469" s="73">
        <v>85</v>
      </c>
      <c r="J1469" s="98"/>
    </row>
    <row r="1470" spans="1:13" ht="60" x14ac:dyDescent="0.25">
      <c r="A1470" s="134"/>
      <c r="B1470" s="123"/>
      <c r="C1470" s="134"/>
      <c r="D1470" s="107" t="s">
        <v>1512</v>
      </c>
      <c r="E1470" s="107" t="s">
        <v>16</v>
      </c>
      <c r="F1470" s="107" t="s">
        <v>6</v>
      </c>
      <c r="G1470" s="20">
        <v>16069.15</v>
      </c>
      <c r="H1470" s="20">
        <v>16069.15</v>
      </c>
      <c r="I1470" s="76">
        <v>16069.15</v>
      </c>
      <c r="J1470" s="98"/>
    </row>
    <row r="1471" spans="1:13" ht="30" customHeight="1" x14ac:dyDescent="0.25">
      <c r="A1471" s="130" t="s">
        <v>1506</v>
      </c>
      <c r="B1471" s="123"/>
      <c r="C1471" s="130" t="s">
        <v>522</v>
      </c>
      <c r="D1471" s="130" t="s">
        <v>2039</v>
      </c>
      <c r="E1471" s="107" t="s">
        <v>520</v>
      </c>
      <c r="F1471" s="107" t="s">
        <v>80</v>
      </c>
      <c r="G1471" s="19">
        <v>10000</v>
      </c>
      <c r="H1471" s="19">
        <v>10000</v>
      </c>
      <c r="I1471" s="73">
        <v>13793</v>
      </c>
      <c r="J1471" s="98"/>
    </row>
    <row r="1472" spans="1:13" ht="61.5" customHeight="1" x14ac:dyDescent="0.25">
      <c r="A1472" s="134"/>
      <c r="B1472" s="123"/>
      <c r="C1472" s="134"/>
      <c r="D1472" s="134"/>
      <c r="E1472" s="107" t="s">
        <v>1505</v>
      </c>
      <c r="F1472" s="107" t="s">
        <v>103</v>
      </c>
      <c r="G1472" s="19">
        <v>40</v>
      </c>
      <c r="H1472" s="19">
        <v>40</v>
      </c>
      <c r="I1472" s="73">
        <v>40</v>
      </c>
      <c r="J1472" s="98"/>
    </row>
    <row r="1473" spans="1:11" ht="60" x14ac:dyDescent="0.25">
      <c r="A1473" s="134"/>
      <c r="B1473" s="124"/>
      <c r="C1473" s="134"/>
      <c r="D1473" s="107" t="s">
        <v>1512</v>
      </c>
      <c r="E1473" s="107" t="s">
        <v>16</v>
      </c>
      <c r="F1473" s="107" t="s">
        <v>6</v>
      </c>
      <c r="G1473" s="20">
        <v>9718.15</v>
      </c>
      <c r="H1473" s="20">
        <v>9718.15</v>
      </c>
      <c r="I1473" s="76">
        <v>9718.15</v>
      </c>
      <c r="J1473" s="98"/>
    </row>
    <row r="1474" spans="1:11" ht="57" x14ac:dyDescent="0.25">
      <c r="A1474" s="262" t="s">
        <v>1500</v>
      </c>
      <c r="B1474" s="262"/>
      <c r="C1474" s="262"/>
      <c r="D1474" s="262"/>
      <c r="E1474" s="10" t="s">
        <v>17</v>
      </c>
      <c r="F1474" s="10" t="s">
        <v>6</v>
      </c>
      <c r="G1474" s="33">
        <f>G1464+G1467+G1470+G1473</f>
        <v>41724.700000000004</v>
      </c>
      <c r="H1474" s="33">
        <f>H1464+H1467+H1470+H1473</f>
        <v>41724.700000000004</v>
      </c>
      <c r="I1474" s="79">
        <f>I1464+I1467+I1470+I1473</f>
        <v>41724.700000000004</v>
      </c>
      <c r="J1474" s="98"/>
    </row>
    <row r="1475" spans="1:11" ht="15" customHeight="1" x14ac:dyDescent="0.25">
      <c r="A1475" s="131" t="s">
        <v>1507</v>
      </c>
      <c r="B1475" s="344" t="s">
        <v>532</v>
      </c>
      <c r="C1475" s="131" t="s">
        <v>118</v>
      </c>
      <c r="D1475" s="131" t="s">
        <v>2134</v>
      </c>
      <c r="E1475" s="113" t="s">
        <v>523</v>
      </c>
      <c r="F1475" s="113" t="s">
        <v>103</v>
      </c>
      <c r="G1475" s="345">
        <v>787144</v>
      </c>
      <c r="H1475" s="345">
        <v>878400</v>
      </c>
      <c r="I1475" s="346">
        <v>1036200</v>
      </c>
      <c r="J1475" s="98"/>
    </row>
    <row r="1476" spans="1:11" x14ac:dyDescent="0.25">
      <c r="A1476" s="131"/>
      <c r="B1476" s="347"/>
      <c r="C1476" s="131"/>
      <c r="D1476" s="132"/>
      <c r="E1476" s="113" t="s">
        <v>523</v>
      </c>
      <c r="F1476" s="113" t="s">
        <v>529</v>
      </c>
      <c r="G1476" s="345">
        <v>787144</v>
      </c>
      <c r="H1476" s="345">
        <v>878400</v>
      </c>
      <c r="I1476" s="346">
        <v>1036200</v>
      </c>
      <c r="J1476" s="98"/>
    </row>
    <row r="1477" spans="1:11" ht="30" x14ac:dyDescent="0.25">
      <c r="A1477" s="131"/>
      <c r="B1477" s="347"/>
      <c r="C1477" s="131"/>
      <c r="D1477" s="132"/>
      <c r="E1477" s="113" t="s">
        <v>524</v>
      </c>
      <c r="F1477" s="113" t="s">
        <v>103</v>
      </c>
      <c r="G1477" s="345">
        <v>3226</v>
      </c>
      <c r="H1477" s="345">
        <v>3600</v>
      </c>
      <c r="I1477" s="346">
        <v>4247</v>
      </c>
      <c r="J1477" s="98"/>
    </row>
    <row r="1478" spans="1:11" x14ac:dyDescent="0.25">
      <c r="A1478" s="131"/>
      <c r="B1478" s="347"/>
      <c r="C1478" s="131"/>
      <c r="D1478" s="132"/>
      <c r="E1478" s="113" t="s">
        <v>525</v>
      </c>
      <c r="F1478" s="113" t="s">
        <v>530</v>
      </c>
      <c r="G1478" s="345">
        <v>1795840</v>
      </c>
      <c r="H1478" s="345">
        <v>1795840</v>
      </c>
      <c r="I1478" s="346">
        <v>1939360</v>
      </c>
      <c r="J1478" s="98"/>
    </row>
    <row r="1479" spans="1:11" x14ac:dyDescent="0.25">
      <c r="A1479" s="131"/>
      <c r="B1479" s="347"/>
      <c r="C1479" s="131"/>
      <c r="D1479" s="132"/>
      <c r="E1479" s="113" t="s">
        <v>526</v>
      </c>
      <c r="F1479" s="113" t="s">
        <v>103</v>
      </c>
      <c r="G1479" s="345">
        <v>244</v>
      </c>
      <c r="H1479" s="345">
        <v>244</v>
      </c>
      <c r="I1479" s="346">
        <v>244</v>
      </c>
      <c r="J1479" s="98"/>
    </row>
    <row r="1480" spans="1:11" x14ac:dyDescent="0.25">
      <c r="A1480" s="131"/>
      <c r="B1480" s="347"/>
      <c r="C1480" s="131"/>
      <c r="D1480" s="132"/>
      <c r="E1480" s="113" t="s">
        <v>527</v>
      </c>
      <c r="F1480" s="113" t="s">
        <v>531</v>
      </c>
      <c r="G1480" s="345">
        <v>3148576</v>
      </c>
      <c r="H1480" s="345">
        <v>3513600</v>
      </c>
      <c r="I1480" s="346">
        <v>4554800</v>
      </c>
      <c r="J1480" s="98"/>
    </row>
    <row r="1481" spans="1:11" ht="60" x14ac:dyDescent="0.25">
      <c r="A1481" s="131"/>
      <c r="B1481" s="347"/>
      <c r="C1481" s="131"/>
      <c r="D1481" s="113" t="s">
        <v>1511</v>
      </c>
      <c r="E1481" s="113" t="s">
        <v>16</v>
      </c>
      <c r="F1481" s="113" t="s">
        <v>6</v>
      </c>
      <c r="G1481" s="70">
        <v>8668.4</v>
      </c>
      <c r="H1481" s="70">
        <v>8684.2000000000007</v>
      </c>
      <c r="I1481" s="96">
        <v>9674.9500000000007</v>
      </c>
      <c r="J1481" s="98"/>
    </row>
    <row r="1482" spans="1:11" ht="60" x14ac:dyDescent="0.25">
      <c r="A1482" s="131" t="s">
        <v>1508</v>
      </c>
      <c r="B1482" s="347"/>
      <c r="C1482" s="131" t="s">
        <v>119</v>
      </c>
      <c r="D1482" s="113" t="s">
        <v>2040</v>
      </c>
      <c r="E1482" s="113" t="s">
        <v>528</v>
      </c>
      <c r="F1482" s="113" t="s">
        <v>145</v>
      </c>
      <c r="G1482" s="70">
        <v>2250</v>
      </c>
      <c r="H1482" s="70">
        <v>937.5</v>
      </c>
      <c r="I1482" s="96">
        <v>929.35</v>
      </c>
      <c r="J1482" s="98"/>
    </row>
    <row r="1483" spans="1:11" ht="63" customHeight="1" x14ac:dyDescent="0.25">
      <c r="A1483" s="133"/>
      <c r="B1483" s="347"/>
      <c r="C1483" s="133"/>
      <c r="D1483" s="113" t="s">
        <v>1511</v>
      </c>
      <c r="E1483" s="113" t="s">
        <v>16</v>
      </c>
      <c r="F1483" s="113" t="s">
        <v>6</v>
      </c>
      <c r="G1483" s="70">
        <v>0</v>
      </c>
      <c r="H1483" s="70">
        <v>0</v>
      </c>
      <c r="I1483" s="96">
        <v>1752.1</v>
      </c>
      <c r="J1483" s="98"/>
    </row>
    <row r="1484" spans="1:11" ht="86.25" customHeight="1" x14ac:dyDescent="0.25">
      <c r="A1484" s="130" t="s">
        <v>1509</v>
      </c>
      <c r="B1484" s="347"/>
      <c r="C1484" s="130" t="s">
        <v>220</v>
      </c>
      <c r="D1484" s="107" t="s">
        <v>2041</v>
      </c>
      <c r="E1484" s="107" t="s">
        <v>221</v>
      </c>
      <c r="F1484" s="107" t="s">
        <v>85</v>
      </c>
      <c r="G1484" s="70">
        <v>162032</v>
      </c>
      <c r="H1484" s="70">
        <v>162032</v>
      </c>
      <c r="I1484" s="96">
        <v>162032</v>
      </c>
      <c r="J1484" s="98"/>
    </row>
    <row r="1485" spans="1:11" ht="60" x14ac:dyDescent="0.25">
      <c r="A1485" s="134"/>
      <c r="B1485" s="348"/>
      <c r="C1485" s="134"/>
      <c r="D1485" s="107" t="s">
        <v>2135</v>
      </c>
      <c r="E1485" s="107" t="s">
        <v>16</v>
      </c>
      <c r="F1485" s="107" t="s">
        <v>6</v>
      </c>
      <c r="G1485" s="70">
        <v>0</v>
      </c>
      <c r="H1485" s="70">
        <v>100927.4</v>
      </c>
      <c r="I1485" s="96">
        <v>101873.60000000001</v>
      </c>
      <c r="J1485" s="98"/>
      <c r="K1485" s="49"/>
    </row>
    <row r="1486" spans="1:11" ht="24" customHeight="1" x14ac:dyDescent="0.25">
      <c r="A1486" s="349" t="s">
        <v>1510</v>
      </c>
      <c r="B1486" s="349"/>
      <c r="C1486" s="349"/>
      <c r="D1486" s="349"/>
      <c r="E1486" s="350" t="s">
        <v>17</v>
      </c>
      <c r="F1486" s="350" t="s">
        <v>6</v>
      </c>
      <c r="G1486" s="351">
        <f>G1481+G1483+G1485</f>
        <v>8668.4</v>
      </c>
      <c r="H1486" s="351">
        <f>H1481+H1483+H1485</f>
        <v>109611.59999999999</v>
      </c>
      <c r="I1486" s="114">
        <f>I1481+I1483+I1485</f>
        <v>113300.65000000001</v>
      </c>
      <c r="J1486" s="98"/>
    </row>
    <row r="1487" spans="1:11" ht="33.75" customHeight="1" x14ac:dyDescent="0.25">
      <c r="A1487" s="349" t="s">
        <v>2133</v>
      </c>
      <c r="B1487" s="349"/>
      <c r="C1487" s="349"/>
      <c r="D1487" s="349"/>
      <c r="E1487" s="352"/>
      <c r="F1487" s="352"/>
      <c r="G1487" s="351">
        <f>G1486+G1474</f>
        <v>50393.100000000006</v>
      </c>
      <c r="H1487" s="351">
        <f>H1486+H1474</f>
        <v>151336.29999999999</v>
      </c>
      <c r="I1487" s="114">
        <f>I1486+I1474</f>
        <v>155025.35</v>
      </c>
      <c r="J1487" s="98"/>
    </row>
    <row r="1488" spans="1:11" x14ac:dyDescent="0.25">
      <c r="A1488" s="353" t="s">
        <v>1513</v>
      </c>
      <c r="B1488" s="353"/>
      <c r="C1488" s="353"/>
      <c r="D1488" s="353"/>
      <c r="E1488" s="354"/>
      <c r="F1488" s="354"/>
      <c r="G1488" s="355">
        <f>+G60+G79+G84+G93+G126+G131+G142+G204+G418+G987+G1080+G1461+G241+G1487+G1275</f>
        <v>11020040.05156661</v>
      </c>
      <c r="H1488" s="355">
        <f>+H60+H79+H84+H93+H126+H131+H142+H204+H418+H987+H1080+H1461+H241+H1487+H1275</f>
        <v>12104608.439243075</v>
      </c>
      <c r="I1488" s="355">
        <f>+I60+I79+I84+I93+I126+I131+I142+I204+I418+I987+I1080+I1461+I241+I1487+I1275</f>
        <v>12149392.647565542</v>
      </c>
      <c r="J1488" s="98"/>
    </row>
  </sheetData>
  <mergeCells count="1594">
    <mergeCell ref="D1230:D1231"/>
    <mergeCell ref="F1230:F1231"/>
    <mergeCell ref="A1005:A1006"/>
    <mergeCell ref="A1007:A1008"/>
    <mergeCell ref="A1009:A1010"/>
    <mergeCell ref="A984:A985"/>
    <mergeCell ref="A222:A223"/>
    <mergeCell ref="A409:A410"/>
    <mergeCell ref="A411:A412"/>
    <mergeCell ref="A413:A414"/>
    <mergeCell ref="A415:A416"/>
    <mergeCell ref="E1486:E1488"/>
    <mergeCell ref="F1486:F1488"/>
    <mergeCell ref="A418:D418"/>
    <mergeCell ref="C396:C398"/>
    <mergeCell ref="E986:E987"/>
    <mergeCell ref="F986:F987"/>
    <mergeCell ref="B420:B985"/>
    <mergeCell ref="A988:I988"/>
    <mergeCell ref="B989:B1001"/>
    <mergeCell ref="B1003:B1010"/>
    <mergeCell ref="B1012:B1029"/>
    <mergeCell ref="E1079:E1080"/>
    <mergeCell ref="I1144:I1145"/>
    <mergeCell ref="F1125:F1126"/>
    <mergeCell ref="H1226:H1227"/>
    <mergeCell ref="I1226:I1227"/>
    <mergeCell ref="E1465:E1466"/>
    <mergeCell ref="C1073:C1074"/>
    <mergeCell ref="G1122:G1123"/>
    <mergeCell ref="D1102:D1103"/>
    <mergeCell ref="D1110:D1111"/>
    <mergeCell ref="C1114:C1120"/>
    <mergeCell ref="D1114:D1115"/>
    <mergeCell ref="A1082:A1087"/>
    <mergeCell ref="C1082:C1087"/>
    <mergeCell ref="D1082:D1083"/>
    <mergeCell ref="A1088:A1094"/>
    <mergeCell ref="C1088:C1094"/>
    <mergeCell ref="D1088:D1089"/>
    <mergeCell ref="E1090:E1094"/>
    <mergeCell ref="F1095:F1096"/>
    <mergeCell ref="A1095:A1101"/>
    <mergeCell ref="F1088:F1089"/>
    <mergeCell ref="H1202:H1203"/>
    <mergeCell ref="I1202:I1203"/>
    <mergeCell ref="F1191:F1192"/>
    <mergeCell ref="G1191:G1192"/>
    <mergeCell ref="H1191:H1192"/>
    <mergeCell ref="I1191:I1192"/>
    <mergeCell ref="D1194:D1195"/>
    <mergeCell ref="F1194:F1195"/>
    <mergeCell ref="G1194:G1195"/>
    <mergeCell ref="H1194:H1195"/>
    <mergeCell ref="G1144:G1145"/>
    <mergeCell ref="H1144:H1145"/>
    <mergeCell ref="E1137:E1138"/>
    <mergeCell ref="I1194:I1195"/>
    <mergeCell ref="D1197:D1198"/>
    <mergeCell ref="F1197:F1198"/>
    <mergeCell ref="G1197:G1198"/>
    <mergeCell ref="F1144:F1145"/>
    <mergeCell ref="F1205:F1206"/>
    <mergeCell ref="G1205:G1206"/>
    <mergeCell ref="H1205:H1206"/>
    <mergeCell ref="I1205:I1206"/>
    <mergeCell ref="D1211:D1212"/>
    <mergeCell ref="F1211:F1212"/>
    <mergeCell ref="G1214:G1215"/>
    <mergeCell ref="H1214:H1215"/>
    <mergeCell ref="I1214:I1215"/>
    <mergeCell ref="G1217:G1218"/>
    <mergeCell ref="H1217:H1218"/>
    <mergeCell ref="I1217:I1218"/>
    <mergeCell ref="E1214:E1215"/>
    <mergeCell ref="A1075:A1076"/>
    <mergeCell ref="C1075:C1076"/>
    <mergeCell ref="A1077:A1078"/>
    <mergeCell ref="F1090:F1094"/>
    <mergeCell ref="A1081:I1081"/>
    <mergeCell ref="A1102:A1109"/>
    <mergeCell ref="C1102:C1109"/>
    <mergeCell ref="F1079:F1080"/>
    <mergeCell ref="B1031:B1078"/>
    <mergeCell ref="H1122:H1123"/>
    <mergeCell ref="I1122:I1123"/>
    <mergeCell ref="D1125:D1126"/>
    <mergeCell ref="G1147:G1148"/>
    <mergeCell ref="F1114:F1115"/>
    <mergeCell ref="F1110:F1111"/>
    <mergeCell ref="F1102:F1103"/>
    <mergeCell ref="I1160:I1161"/>
    <mergeCell ref="D1191:D1192"/>
    <mergeCell ref="A1110:A1113"/>
    <mergeCell ref="D396:D397"/>
    <mergeCell ref="C424:C425"/>
    <mergeCell ref="C1003:C1004"/>
    <mergeCell ref="C1005:C1006"/>
    <mergeCell ref="C1007:C1008"/>
    <mergeCell ref="C984:C985"/>
    <mergeCell ref="A986:D986"/>
    <mergeCell ref="A987:D987"/>
    <mergeCell ref="A1071:A1072"/>
    <mergeCell ref="C1071:C1072"/>
    <mergeCell ref="A1073:A1074"/>
    <mergeCell ref="A396:A398"/>
    <mergeCell ref="A399:A400"/>
    <mergeCell ref="A401:A402"/>
    <mergeCell ref="A403:A404"/>
    <mergeCell ref="A405:A406"/>
    <mergeCell ref="A407:A408"/>
    <mergeCell ref="C1069:C1070"/>
    <mergeCell ref="A419:I419"/>
    <mergeCell ref="A978:A979"/>
    <mergeCell ref="C978:C979"/>
    <mergeCell ref="A980:A981"/>
    <mergeCell ref="C980:C981"/>
    <mergeCell ref="A948:A949"/>
    <mergeCell ref="C948:C949"/>
    <mergeCell ref="A950:A951"/>
    <mergeCell ref="C950:C951"/>
    <mergeCell ref="C942:C943"/>
    <mergeCell ref="A944:A945"/>
    <mergeCell ref="C944:C945"/>
    <mergeCell ref="A946:A947"/>
    <mergeCell ref="C946:C947"/>
    <mergeCell ref="I1197:I1198"/>
    <mergeCell ref="F1160:F1161"/>
    <mergeCell ref="D1122:D1123"/>
    <mergeCell ref="F1122:F1123"/>
    <mergeCell ref="F1082:F1083"/>
    <mergeCell ref="C1077:C1078"/>
    <mergeCell ref="A1079:D1079"/>
    <mergeCell ref="A1069:A1070"/>
    <mergeCell ref="I1125:I1126"/>
    <mergeCell ref="I1137:I1138"/>
    <mergeCell ref="A1156:A1158"/>
    <mergeCell ref="C1156:C1158"/>
    <mergeCell ref="A1159:A1161"/>
    <mergeCell ref="C1159:C1161"/>
    <mergeCell ref="E1160:E1161"/>
    <mergeCell ref="A1162:A1187"/>
    <mergeCell ref="C1162:C1187"/>
    <mergeCell ref="D1162:D1163"/>
    <mergeCell ref="A1188:A1189"/>
    <mergeCell ref="H1147:H1148"/>
    <mergeCell ref="I1147:I1148"/>
    <mergeCell ref="G1160:G1161"/>
    <mergeCell ref="E1194:E1195"/>
    <mergeCell ref="C1196:C1198"/>
    <mergeCell ref="E1197:E1198"/>
    <mergeCell ref="C1188:C1189"/>
    <mergeCell ref="D1160:D1161"/>
    <mergeCell ref="E1157:E1158"/>
    <mergeCell ref="C1139:C1142"/>
    <mergeCell ref="A1143:A1145"/>
    <mergeCell ref="C1143:C1145"/>
    <mergeCell ref="C1110:C1113"/>
    <mergeCell ref="A1207:A1209"/>
    <mergeCell ref="A1210:A1212"/>
    <mergeCell ref="A1213:A1215"/>
    <mergeCell ref="A1190:A1192"/>
    <mergeCell ref="C1190:C1192"/>
    <mergeCell ref="E1191:E1192"/>
    <mergeCell ref="A1193:A1195"/>
    <mergeCell ref="C1193:C1195"/>
    <mergeCell ref="G1125:G1126"/>
    <mergeCell ref="H1125:H1126"/>
    <mergeCell ref="D1137:D1138"/>
    <mergeCell ref="H1137:H1138"/>
    <mergeCell ref="G1137:G1138"/>
    <mergeCell ref="F1137:F1138"/>
    <mergeCell ref="D1147:D1148"/>
    <mergeCell ref="F1147:F1148"/>
    <mergeCell ref="C1224:C1227"/>
    <mergeCell ref="D1224:D1225"/>
    <mergeCell ref="E1226:E1227"/>
    <mergeCell ref="D1217:D1218"/>
    <mergeCell ref="C1204:C1206"/>
    <mergeCell ref="E1205:E1206"/>
    <mergeCell ref="C1207:C1209"/>
    <mergeCell ref="C1210:C1212"/>
    <mergeCell ref="E1211:E1212"/>
    <mergeCell ref="A1196:A1198"/>
    <mergeCell ref="C1213:C1215"/>
    <mergeCell ref="H1160:H1161"/>
    <mergeCell ref="F1202:F1203"/>
    <mergeCell ref="G1202:G1203"/>
    <mergeCell ref="H1197:H1198"/>
    <mergeCell ref="D1205:D1206"/>
    <mergeCell ref="D1220:D1221"/>
    <mergeCell ref="F1220:F1221"/>
    <mergeCell ref="G1220:G1221"/>
    <mergeCell ref="H1220:H1221"/>
    <mergeCell ref="I1220:I1221"/>
    <mergeCell ref="D1226:D1227"/>
    <mergeCell ref="F1226:F1227"/>
    <mergeCell ref="G1226:G1227"/>
    <mergeCell ref="A1261:A1270"/>
    <mergeCell ref="C1261:C1270"/>
    <mergeCell ref="A1271:A1273"/>
    <mergeCell ref="C1271:C1273"/>
    <mergeCell ref="D1271:D1272"/>
    <mergeCell ref="C1199:C1200"/>
    <mergeCell ref="A1201:A1203"/>
    <mergeCell ref="C1201:C1203"/>
    <mergeCell ref="E1202:E1203"/>
    <mergeCell ref="D1202:D1203"/>
    <mergeCell ref="A1199:A1200"/>
    <mergeCell ref="G1230:G1231"/>
    <mergeCell ref="H1230:H1231"/>
    <mergeCell ref="I1230:I1231"/>
    <mergeCell ref="G1211:G1212"/>
    <mergeCell ref="H1211:H1212"/>
    <mergeCell ref="I1211:I1212"/>
    <mergeCell ref="D1214:D1215"/>
    <mergeCell ref="F1214:F1215"/>
    <mergeCell ref="A1228:A1231"/>
    <mergeCell ref="C1228:C1231"/>
    <mergeCell ref="D1228:D1229"/>
    <mergeCell ref="E1230:E1231"/>
    <mergeCell ref="A1204:A1206"/>
    <mergeCell ref="A1274:D1274"/>
    <mergeCell ref="A1275:D1275"/>
    <mergeCell ref="F1217:F1218"/>
    <mergeCell ref="A1216:A1218"/>
    <mergeCell ref="C1216:C1218"/>
    <mergeCell ref="E1217:E1218"/>
    <mergeCell ref="A1219:A1221"/>
    <mergeCell ref="C1219:C1221"/>
    <mergeCell ref="E1220:E1221"/>
    <mergeCell ref="A1222:A1223"/>
    <mergeCell ref="C1222:C1223"/>
    <mergeCell ref="A1224:A1227"/>
    <mergeCell ref="A1287:A1288"/>
    <mergeCell ref="A1232:A1233"/>
    <mergeCell ref="C1232:C1233"/>
    <mergeCell ref="A1234:A1243"/>
    <mergeCell ref="C1234:C1243"/>
    <mergeCell ref="A1244:A1254"/>
    <mergeCell ref="C1244:C1254"/>
    <mergeCell ref="A1255:A1260"/>
    <mergeCell ref="C1255:C1260"/>
    <mergeCell ref="F1271:F1272"/>
    <mergeCell ref="C1287:C1288"/>
    <mergeCell ref="B1277:B1459"/>
    <mergeCell ref="A1289:A1290"/>
    <mergeCell ref="C1289:C1290"/>
    <mergeCell ref="A1294:A1295"/>
    <mergeCell ref="C1294:C1295"/>
    <mergeCell ref="A1296:A1297"/>
    <mergeCell ref="C1296:C1297"/>
    <mergeCell ref="A1277:A1278"/>
    <mergeCell ref="C1277:C1278"/>
    <mergeCell ref="E1144:E1145"/>
    <mergeCell ref="A1146:A1148"/>
    <mergeCell ref="C1146:C1148"/>
    <mergeCell ref="E1147:E1148"/>
    <mergeCell ref="A1149:A1155"/>
    <mergeCell ref="C1149:C1155"/>
    <mergeCell ref="A1121:A1123"/>
    <mergeCell ref="E1122:E1123"/>
    <mergeCell ref="A1124:A1126"/>
    <mergeCell ref="C1124:C1126"/>
    <mergeCell ref="E1125:E1126"/>
    <mergeCell ref="A1127:A1135"/>
    <mergeCell ref="C1127:C1135"/>
    <mergeCell ref="A1136:A1138"/>
    <mergeCell ref="C1136:C1138"/>
    <mergeCell ref="E1128:E1135"/>
    <mergeCell ref="A1139:A1142"/>
    <mergeCell ref="D1144:D1145"/>
    <mergeCell ref="C1095:C1101"/>
    <mergeCell ref="D1095:D1096"/>
    <mergeCell ref="E1084:E1087"/>
    <mergeCell ref="A982:A983"/>
    <mergeCell ref="C982:C983"/>
    <mergeCell ref="A972:A973"/>
    <mergeCell ref="C972:C973"/>
    <mergeCell ref="A974:A975"/>
    <mergeCell ref="C974:C975"/>
    <mergeCell ref="A976:A977"/>
    <mergeCell ref="C976:C977"/>
    <mergeCell ref="A966:A967"/>
    <mergeCell ref="C966:C967"/>
    <mergeCell ref="A968:A969"/>
    <mergeCell ref="C968:C969"/>
    <mergeCell ref="A970:A971"/>
    <mergeCell ref="C1055:C1056"/>
    <mergeCell ref="A1057:A1058"/>
    <mergeCell ref="C1057:C1058"/>
    <mergeCell ref="C1012:C1013"/>
    <mergeCell ref="A1014:A1015"/>
    <mergeCell ref="C1014:C1015"/>
    <mergeCell ref="A1016:A1017"/>
    <mergeCell ref="C1016:C1017"/>
    <mergeCell ref="A1018:A1019"/>
    <mergeCell ref="C1018:C1019"/>
    <mergeCell ref="A1020:A1021"/>
    <mergeCell ref="C1020:C1021"/>
    <mergeCell ref="A1022:A1023"/>
    <mergeCell ref="C1022:C1023"/>
    <mergeCell ref="A1041:A1042"/>
    <mergeCell ref="C1041:C1042"/>
    <mergeCell ref="A952:A953"/>
    <mergeCell ref="C952:C953"/>
    <mergeCell ref="A942:A943"/>
    <mergeCell ref="C970:C971"/>
    <mergeCell ref="A960:A961"/>
    <mergeCell ref="C960:C961"/>
    <mergeCell ref="A962:A963"/>
    <mergeCell ref="C962:C963"/>
    <mergeCell ref="A964:A965"/>
    <mergeCell ref="C964:C965"/>
    <mergeCell ref="A954:A955"/>
    <mergeCell ref="C954:C955"/>
    <mergeCell ref="A956:A957"/>
    <mergeCell ref="C956:C957"/>
    <mergeCell ref="A958:A959"/>
    <mergeCell ref="C958:C959"/>
    <mergeCell ref="A940:A941"/>
    <mergeCell ref="C940:C941"/>
    <mergeCell ref="A918:A919"/>
    <mergeCell ref="C918:C919"/>
    <mergeCell ref="A920:A921"/>
    <mergeCell ref="C920:C921"/>
    <mergeCell ref="A922:A923"/>
    <mergeCell ref="C922:C923"/>
    <mergeCell ref="A936:A937"/>
    <mergeCell ref="C936:C937"/>
    <mergeCell ref="A938:A939"/>
    <mergeCell ref="C938:C939"/>
    <mergeCell ref="A916:A917"/>
    <mergeCell ref="C916:C917"/>
    <mergeCell ref="A906:A907"/>
    <mergeCell ref="C906:C907"/>
    <mergeCell ref="A908:A909"/>
    <mergeCell ref="C908:C909"/>
    <mergeCell ref="A910:A911"/>
    <mergeCell ref="C910:C911"/>
    <mergeCell ref="A924:A925"/>
    <mergeCell ref="C924:C925"/>
    <mergeCell ref="A926:A927"/>
    <mergeCell ref="C926:C927"/>
    <mergeCell ref="A930:A931"/>
    <mergeCell ref="C930:C931"/>
    <mergeCell ref="A932:A933"/>
    <mergeCell ref="C932:C933"/>
    <mergeCell ref="A934:A935"/>
    <mergeCell ref="C934:C935"/>
    <mergeCell ref="A928:A929"/>
    <mergeCell ref="C928:C929"/>
    <mergeCell ref="A904:A905"/>
    <mergeCell ref="C904:C905"/>
    <mergeCell ref="A894:A895"/>
    <mergeCell ref="C894:C895"/>
    <mergeCell ref="A896:A897"/>
    <mergeCell ref="C896:C897"/>
    <mergeCell ref="A898:A899"/>
    <mergeCell ref="C898:C899"/>
    <mergeCell ref="A912:A913"/>
    <mergeCell ref="C912:C913"/>
    <mergeCell ref="A914:A915"/>
    <mergeCell ref="C914:C915"/>
    <mergeCell ref="A892:A893"/>
    <mergeCell ref="C892:C893"/>
    <mergeCell ref="A882:A883"/>
    <mergeCell ref="C882:C883"/>
    <mergeCell ref="A884:A885"/>
    <mergeCell ref="C884:C885"/>
    <mergeCell ref="A886:A887"/>
    <mergeCell ref="C886:C887"/>
    <mergeCell ref="A900:A901"/>
    <mergeCell ref="C900:C901"/>
    <mergeCell ref="A902:A903"/>
    <mergeCell ref="C902:C903"/>
    <mergeCell ref="A880:A881"/>
    <mergeCell ref="C880:C881"/>
    <mergeCell ref="A870:A871"/>
    <mergeCell ref="C870:C871"/>
    <mergeCell ref="A872:A873"/>
    <mergeCell ref="C872:C873"/>
    <mergeCell ref="A874:A875"/>
    <mergeCell ref="C874:C875"/>
    <mergeCell ref="A888:A889"/>
    <mergeCell ref="C888:C889"/>
    <mergeCell ref="A890:A891"/>
    <mergeCell ref="C890:C891"/>
    <mergeCell ref="A868:A869"/>
    <mergeCell ref="C868:C869"/>
    <mergeCell ref="A858:A859"/>
    <mergeCell ref="C858:C859"/>
    <mergeCell ref="A860:A861"/>
    <mergeCell ref="C860:C861"/>
    <mergeCell ref="A862:A863"/>
    <mergeCell ref="C862:C863"/>
    <mergeCell ref="A876:A877"/>
    <mergeCell ref="C876:C877"/>
    <mergeCell ref="A878:A879"/>
    <mergeCell ref="C878:C879"/>
    <mergeCell ref="A856:A857"/>
    <mergeCell ref="C856:C857"/>
    <mergeCell ref="A846:A847"/>
    <mergeCell ref="C846:C847"/>
    <mergeCell ref="A848:A849"/>
    <mergeCell ref="C848:C849"/>
    <mergeCell ref="A850:A851"/>
    <mergeCell ref="C850:C851"/>
    <mergeCell ref="A864:A865"/>
    <mergeCell ref="C864:C865"/>
    <mergeCell ref="A866:A867"/>
    <mergeCell ref="C866:C867"/>
    <mergeCell ref="A844:A845"/>
    <mergeCell ref="C844:C845"/>
    <mergeCell ref="A834:A835"/>
    <mergeCell ref="C834:C835"/>
    <mergeCell ref="A836:A837"/>
    <mergeCell ref="C836:C837"/>
    <mergeCell ref="A838:A839"/>
    <mergeCell ref="C838:C839"/>
    <mergeCell ref="A852:A853"/>
    <mergeCell ref="C852:C853"/>
    <mergeCell ref="A854:A855"/>
    <mergeCell ref="C854:C855"/>
    <mergeCell ref="A832:A833"/>
    <mergeCell ref="C832:C833"/>
    <mergeCell ref="A822:A823"/>
    <mergeCell ref="C822:C823"/>
    <mergeCell ref="A824:A825"/>
    <mergeCell ref="C824:C825"/>
    <mergeCell ref="A826:A827"/>
    <mergeCell ref="C826:C827"/>
    <mergeCell ref="A840:A841"/>
    <mergeCell ref="C840:C841"/>
    <mergeCell ref="A842:A843"/>
    <mergeCell ref="C842:C843"/>
    <mergeCell ref="A820:A821"/>
    <mergeCell ref="C820:C821"/>
    <mergeCell ref="A810:A811"/>
    <mergeCell ref="C810:C811"/>
    <mergeCell ref="A812:A813"/>
    <mergeCell ref="C812:C813"/>
    <mergeCell ref="A814:A815"/>
    <mergeCell ref="C814:C815"/>
    <mergeCell ref="A828:A829"/>
    <mergeCell ref="C828:C829"/>
    <mergeCell ref="A830:A831"/>
    <mergeCell ref="C830:C831"/>
    <mergeCell ref="A808:A809"/>
    <mergeCell ref="C808:C809"/>
    <mergeCell ref="A798:A799"/>
    <mergeCell ref="C798:C799"/>
    <mergeCell ref="A800:A801"/>
    <mergeCell ref="C800:C801"/>
    <mergeCell ref="A802:A803"/>
    <mergeCell ref="C802:C803"/>
    <mergeCell ref="A816:A817"/>
    <mergeCell ref="C816:C817"/>
    <mergeCell ref="A818:A819"/>
    <mergeCell ref="C818:C819"/>
    <mergeCell ref="A796:A797"/>
    <mergeCell ref="C796:C797"/>
    <mergeCell ref="A786:A787"/>
    <mergeCell ref="C786:C787"/>
    <mergeCell ref="A788:A789"/>
    <mergeCell ref="C788:C789"/>
    <mergeCell ref="A790:A791"/>
    <mergeCell ref="C790:C791"/>
    <mergeCell ref="A804:A805"/>
    <mergeCell ref="C804:C805"/>
    <mergeCell ref="A806:A807"/>
    <mergeCell ref="C806:C807"/>
    <mergeCell ref="A784:A785"/>
    <mergeCell ref="C784:C785"/>
    <mergeCell ref="A774:A775"/>
    <mergeCell ref="C774:C775"/>
    <mergeCell ref="A776:A777"/>
    <mergeCell ref="C776:C777"/>
    <mergeCell ref="A778:A779"/>
    <mergeCell ref="C778:C779"/>
    <mergeCell ref="A792:A793"/>
    <mergeCell ref="C792:C793"/>
    <mergeCell ref="A794:A795"/>
    <mergeCell ref="C794:C795"/>
    <mergeCell ref="A772:A773"/>
    <mergeCell ref="C772:C773"/>
    <mergeCell ref="A762:A763"/>
    <mergeCell ref="C762:C763"/>
    <mergeCell ref="A764:A765"/>
    <mergeCell ref="C764:C765"/>
    <mergeCell ref="A766:A767"/>
    <mergeCell ref="C766:C767"/>
    <mergeCell ref="A780:A781"/>
    <mergeCell ref="C780:C781"/>
    <mergeCell ref="A782:A783"/>
    <mergeCell ref="C782:C783"/>
    <mergeCell ref="A760:A761"/>
    <mergeCell ref="C760:C761"/>
    <mergeCell ref="A750:A751"/>
    <mergeCell ref="C750:C751"/>
    <mergeCell ref="A752:A753"/>
    <mergeCell ref="C752:C753"/>
    <mergeCell ref="A754:A755"/>
    <mergeCell ref="C754:C755"/>
    <mergeCell ref="A768:A769"/>
    <mergeCell ref="C768:C769"/>
    <mergeCell ref="A770:A771"/>
    <mergeCell ref="C770:C771"/>
    <mergeCell ref="A748:A749"/>
    <mergeCell ref="C748:C749"/>
    <mergeCell ref="A738:A739"/>
    <mergeCell ref="C738:C739"/>
    <mergeCell ref="A740:A741"/>
    <mergeCell ref="C740:C741"/>
    <mergeCell ref="A742:A743"/>
    <mergeCell ref="C742:C743"/>
    <mergeCell ref="A756:A757"/>
    <mergeCell ref="C756:C757"/>
    <mergeCell ref="A758:A759"/>
    <mergeCell ref="C758:C759"/>
    <mergeCell ref="A736:A737"/>
    <mergeCell ref="C736:C737"/>
    <mergeCell ref="A726:A727"/>
    <mergeCell ref="C726:C727"/>
    <mergeCell ref="A728:A729"/>
    <mergeCell ref="C728:C729"/>
    <mergeCell ref="A730:A731"/>
    <mergeCell ref="C730:C731"/>
    <mergeCell ref="A744:A745"/>
    <mergeCell ref="C744:C745"/>
    <mergeCell ref="A746:A747"/>
    <mergeCell ref="C746:C747"/>
    <mergeCell ref="A724:A725"/>
    <mergeCell ref="C724:C725"/>
    <mergeCell ref="A714:A715"/>
    <mergeCell ref="C714:C715"/>
    <mergeCell ref="A716:A717"/>
    <mergeCell ref="C716:C717"/>
    <mergeCell ref="A718:A719"/>
    <mergeCell ref="C718:C719"/>
    <mergeCell ref="A732:A733"/>
    <mergeCell ref="C732:C733"/>
    <mergeCell ref="A734:A735"/>
    <mergeCell ref="C734:C735"/>
    <mergeCell ref="A712:A713"/>
    <mergeCell ref="C712:C713"/>
    <mergeCell ref="A702:A703"/>
    <mergeCell ref="C702:C703"/>
    <mergeCell ref="A704:A705"/>
    <mergeCell ref="C704:C705"/>
    <mergeCell ref="A706:A707"/>
    <mergeCell ref="C706:C707"/>
    <mergeCell ref="A720:A721"/>
    <mergeCell ref="C720:C721"/>
    <mergeCell ref="A722:A723"/>
    <mergeCell ref="C722:C723"/>
    <mergeCell ref="A700:A701"/>
    <mergeCell ref="C700:C701"/>
    <mergeCell ref="A690:A691"/>
    <mergeCell ref="C690:C691"/>
    <mergeCell ref="A692:A693"/>
    <mergeCell ref="C692:C693"/>
    <mergeCell ref="A694:A695"/>
    <mergeCell ref="C694:C695"/>
    <mergeCell ref="A708:A709"/>
    <mergeCell ref="C708:C709"/>
    <mergeCell ref="A710:A711"/>
    <mergeCell ref="C710:C711"/>
    <mergeCell ref="A688:A689"/>
    <mergeCell ref="C688:C689"/>
    <mergeCell ref="A678:A679"/>
    <mergeCell ref="C678:C679"/>
    <mergeCell ref="A680:A681"/>
    <mergeCell ref="C680:C681"/>
    <mergeCell ref="A682:A683"/>
    <mergeCell ref="C682:C683"/>
    <mergeCell ref="A696:A697"/>
    <mergeCell ref="C696:C697"/>
    <mergeCell ref="A698:A699"/>
    <mergeCell ref="C698:C699"/>
    <mergeCell ref="A676:A677"/>
    <mergeCell ref="C676:C677"/>
    <mergeCell ref="A666:A667"/>
    <mergeCell ref="C666:C667"/>
    <mergeCell ref="A668:A669"/>
    <mergeCell ref="C668:C669"/>
    <mergeCell ref="A670:A671"/>
    <mergeCell ref="C670:C671"/>
    <mergeCell ref="A684:A685"/>
    <mergeCell ref="C684:C685"/>
    <mergeCell ref="A686:A687"/>
    <mergeCell ref="C686:C687"/>
    <mergeCell ref="A664:A665"/>
    <mergeCell ref="C664:C665"/>
    <mergeCell ref="A654:A655"/>
    <mergeCell ref="C654:C655"/>
    <mergeCell ref="A656:A657"/>
    <mergeCell ref="C656:C657"/>
    <mergeCell ref="A658:A659"/>
    <mergeCell ref="C658:C659"/>
    <mergeCell ref="A672:A673"/>
    <mergeCell ref="C672:C673"/>
    <mergeCell ref="A674:A675"/>
    <mergeCell ref="C674:C675"/>
    <mergeCell ref="A652:A653"/>
    <mergeCell ref="C652:C653"/>
    <mergeCell ref="A642:A643"/>
    <mergeCell ref="C642:C643"/>
    <mergeCell ref="A644:A645"/>
    <mergeCell ref="C644:C645"/>
    <mergeCell ref="A646:A647"/>
    <mergeCell ref="C646:C647"/>
    <mergeCell ref="A660:A661"/>
    <mergeCell ref="C660:C661"/>
    <mergeCell ref="A662:A663"/>
    <mergeCell ref="C662:C663"/>
    <mergeCell ref="A640:A641"/>
    <mergeCell ref="C640:C641"/>
    <mergeCell ref="A630:A631"/>
    <mergeCell ref="C630:C631"/>
    <mergeCell ref="A632:A633"/>
    <mergeCell ref="C632:C633"/>
    <mergeCell ref="A634:A635"/>
    <mergeCell ref="C634:C635"/>
    <mergeCell ref="A648:A649"/>
    <mergeCell ref="C648:C649"/>
    <mergeCell ref="A650:A651"/>
    <mergeCell ref="C650:C651"/>
    <mergeCell ref="A628:A629"/>
    <mergeCell ref="C628:C629"/>
    <mergeCell ref="A618:A619"/>
    <mergeCell ref="C618:C619"/>
    <mergeCell ref="A620:A621"/>
    <mergeCell ref="C620:C621"/>
    <mergeCell ref="A622:A623"/>
    <mergeCell ref="C622:C623"/>
    <mergeCell ref="A636:A637"/>
    <mergeCell ref="C636:C637"/>
    <mergeCell ref="A638:A639"/>
    <mergeCell ref="C638:C639"/>
    <mergeCell ref="A616:A617"/>
    <mergeCell ref="C616:C617"/>
    <mergeCell ref="A606:A607"/>
    <mergeCell ref="C606:C607"/>
    <mergeCell ref="A608:A609"/>
    <mergeCell ref="C608:C609"/>
    <mergeCell ref="A610:A611"/>
    <mergeCell ref="C610:C611"/>
    <mergeCell ref="A624:A625"/>
    <mergeCell ref="C624:C625"/>
    <mergeCell ref="A626:A627"/>
    <mergeCell ref="C626:C627"/>
    <mergeCell ref="A604:A605"/>
    <mergeCell ref="C604:C605"/>
    <mergeCell ref="A594:A595"/>
    <mergeCell ref="C594:C595"/>
    <mergeCell ref="A596:A597"/>
    <mergeCell ref="C596:C597"/>
    <mergeCell ref="A598:A599"/>
    <mergeCell ref="C598:C599"/>
    <mergeCell ref="A612:A613"/>
    <mergeCell ref="C612:C613"/>
    <mergeCell ref="A614:A615"/>
    <mergeCell ref="C614:C615"/>
    <mergeCell ref="A592:A593"/>
    <mergeCell ref="C592:C593"/>
    <mergeCell ref="A582:A583"/>
    <mergeCell ref="C582:C583"/>
    <mergeCell ref="A584:A585"/>
    <mergeCell ref="C584:C585"/>
    <mergeCell ref="A586:A587"/>
    <mergeCell ref="C586:C587"/>
    <mergeCell ref="A600:A601"/>
    <mergeCell ref="C600:C601"/>
    <mergeCell ref="A602:A603"/>
    <mergeCell ref="C602:C603"/>
    <mergeCell ref="A580:A581"/>
    <mergeCell ref="C580:C581"/>
    <mergeCell ref="A570:A571"/>
    <mergeCell ref="C570:C571"/>
    <mergeCell ref="A572:A573"/>
    <mergeCell ref="C572:C573"/>
    <mergeCell ref="A574:A575"/>
    <mergeCell ref="C574:C575"/>
    <mergeCell ref="A588:A589"/>
    <mergeCell ref="C588:C589"/>
    <mergeCell ref="A590:A591"/>
    <mergeCell ref="C590:C591"/>
    <mergeCell ref="A568:A569"/>
    <mergeCell ref="C568:C569"/>
    <mergeCell ref="A558:A559"/>
    <mergeCell ref="C558:C559"/>
    <mergeCell ref="A560:A561"/>
    <mergeCell ref="C560:C561"/>
    <mergeCell ref="A562:A563"/>
    <mergeCell ref="C562:C563"/>
    <mergeCell ref="A576:A577"/>
    <mergeCell ref="C576:C577"/>
    <mergeCell ref="A578:A579"/>
    <mergeCell ref="C578:C579"/>
    <mergeCell ref="A556:A557"/>
    <mergeCell ref="C556:C557"/>
    <mergeCell ref="A546:A547"/>
    <mergeCell ref="C546:C547"/>
    <mergeCell ref="A548:A549"/>
    <mergeCell ref="C548:C549"/>
    <mergeCell ref="A550:A551"/>
    <mergeCell ref="C550:C551"/>
    <mergeCell ref="A564:A565"/>
    <mergeCell ref="C564:C565"/>
    <mergeCell ref="A566:A567"/>
    <mergeCell ref="C566:C567"/>
    <mergeCell ref="A544:A545"/>
    <mergeCell ref="C544:C545"/>
    <mergeCell ref="A534:A535"/>
    <mergeCell ref="C534:C535"/>
    <mergeCell ref="A536:A537"/>
    <mergeCell ref="C536:C537"/>
    <mergeCell ref="A538:A539"/>
    <mergeCell ref="C538:C539"/>
    <mergeCell ref="A552:A553"/>
    <mergeCell ref="C552:C553"/>
    <mergeCell ref="A554:A555"/>
    <mergeCell ref="C554:C555"/>
    <mergeCell ref="A532:A533"/>
    <mergeCell ref="C532:C533"/>
    <mergeCell ref="A522:A523"/>
    <mergeCell ref="C522:C523"/>
    <mergeCell ref="A524:A525"/>
    <mergeCell ref="C524:C525"/>
    <mergeCell ref="A526:A527"/>
    <mergeCell ref="C526:C527"/>
    <mergeCell ref="A540:A541"/>
    <mergeCell ref="C540:C541"/>
    <mergeCell ref="A542:A543"/>
    <mergeCell ref="C542:C543"/>
    <mergeCell ref="A520:A521"/>
    <mergeCell ref="C520:C521"/>
    <mergeCell ref="A510:A511"/>
    <mergeCell ref="C510:C511"/>
    <mergeCell ref="A512:A513"/>
    <mergeCell ref="C512:C513"/>
    <mergeCell ref="A514:A515"/>
    <mergeCell ref="C514:C515"/>
    <mergeCell ref="A528:A529"/>
    <mergeCell ref="C528:C529"/>
    <mergeCell ref="A530:A531"/>
    <mergeCell ref="C530:C531"/>
    <mergeCell ref="A508:A509"/>
    <mergeCell ref="C508:C509"/>
    <mergeCell ref="A498:A499"/>
    <mergeCell ref="C498:C499"/>
    <mergeCell ref="A500:A501"/>
    <mergeCell ref="C500:C501"/>
    <mergeCell ref="A502:A503"/>
    <mergeCell ref="C502:C503"/>
    <mergeCell ref="A516:A517"/>
    <mergeCell ref="C516:C517"/>
    <mergeCell ref="A518:A519"/>
    <mergeCell ref="C518:C519"/>
    <mergeCell ref="A496:A497"/>
    <mergeCell ref="C496:C497"/>
    <mergeCell ref="A486:A487"/>
    <mergeCell ref="C486:C487"/>
    <mergeCell ref="A488:A489"/>
    <mergeCell ref="C488:C489"/>
    <mergeCell ref="A490:A491"/>
    <mergeCell ref="C490:C491"/>
    <mergeCell ref="A504:A505"/>
    <mergeCell ref="C504:C505"/>
    <mergeCell ref="A506:A507"/>
    <mergeCell ref="C506:C507"/>
    <mergeCell ref="A484:A485"/>
    <mergeCell ref="C484:C485"/>
    <mergeCell ref="A474:A475"/>
    <mergeCell ref="C474:C475"/>
    <mergeCell ref="A476:A477"/>
    <mergeCell ref="C476:C477"/>
    <mergeCell ref="A478:A479"/>
    <mergeCell ref="C478:C479"/>
    <mergeCell ref="A492:A493"/>
    <mergeCell ref="C492:C493"/>
    <mergeCell ref="A494:A495"/>
    <mergeCell ref="C494:C495"/>
    <mergeCell ref="C472:C473"/>
    <mergeCell ref="A462:A463"/>
    <mergeCell ref="C462:C463"/>
    <mergeCell ref="A464:A465"/>
    <mergeCell ref="C464:C465"/>
    <mergeCell ref="A466:A467"/>
    <mergeCell ref="C466:C467"/>
    <mergeCell ref="A480:A481"/>
    <mergeCell ref="C480:C481"/>
    <mergeCell ref="A482:A483"/>
    <mergeCell ref="C482:C483"/>
    <mergeCell ref="A460:A461"/>
    <mergeCell ref="C460:C461"/>
    <mergeCell ref="A450:A451"/>
    <mergeCell ref="C450:C451"/>
    <mergeCell ref="A452:A453"/>
    <mergeCell ref="C452:C453"/>
    <mergeCell ref="A454:A455"/>
    <mergeCell ref="C454:C455"/>
    <mergeCell ref="A468:A469"/>
    <mergeCell ref="C468:C469"/>
    <mergeCell ref="A470:A471"/>
    <mergeCell ref="C470:C471"/>
    <mergeCell ref="C438:C439"/>
    <mergeCell ref="A440:A441"/>
    <mergeCell ref="C440:C441"/>
    <mergeCell ref="A442:A443"/>
    <mergeCell ref="C442:C443"/>
    <mergeCell ref="A456:A457"/>
    <mergeCell ref="C456:C457"/>
    <mergeCell ref="A458:A459"/>
    <mergeCell ref="C458:C459"/>
    <mergeCell ref="A436:A437"/>
    <mergeCell ref="C436:C437"/>
    <mergeCell ref="A426:A427"/>
    <mergeCell ref="C426:C427"/>
    <mergeCell ref="A428:A429"/>
    <mergeCell ref="C428:C429"/>
    <mergeCell ref="A430:A431"/>
    <mergeCell ref="C430:C431"/>
    <mergeCell ref="A444:A445"/>
    <mergeCell ref="C444:C445"/>
    <mergeCell ref="A446:A447"/>
    <mergeCell ref="C446:C447"/>
    <mergeCell ref="A432:A433"/>
    <mergeCell ref="C432:C433"/>
    <mergeCell ref="A434:A435"/>
    <mergeCell ref="C147:C148"/>
    <mergeCell ref="A204:D204"/>
    <mergeCell ref="A143:I143"/>
    <mergeCell ref="A201:A202"/>
    <mergeCell ref="C201:C202"/>
    <mergeCell ref="A203:D203"/>
    <mergeCell ref="A183:A184"/>
    <mergeCell ref="C183:C184"/>
    <mergeCell ref="A185:A186"/>
    <mergeCell ref="C185:C186"/>
    <mergeCell ref="A187:A188"/>
    <mergeCell ref="C187:C188"/>
    <mergeCell ref="F193:F194"/>
    <mergeCell ref="E190:E191"/>
    <mergeCell ref="F190:F191"/>
    <mergeCell ref="E179:E180"/>
    <mergeCell ref="F179:F180"/>
    <mergeCell ref="E175:E177"/>
    <mergeCell ref="F175:F177"/>
    <mergeCell ref="A149:A150"/>
    <mergeCell ref="C149:C150"/>
    <mergeCell ref="A144:A146"/>
    <mergeCell ref="C144:C146"/>
    <mergeCell ref="F156:F159"/>
    <mergeCell ref="B6:B40"/>
    <mergeCell ref="B42:B58"/>
    <mergeCell ref="A18:A19"/>
    <mergeCell ref="C18:C19"/>
    <mergeCell ref="C24:C25"/>
    <mergeCell ref="A83:D83"/>
    <mergeCell ref="A84:D84"/>
    <mergeCell ref="A85:I85"/>
    <mergeCell ref="A86:A87"/>
    <mergeCell ref="C86:C87"/>
    <mergeCell ref="A88:A89"/>
    <mergeCell ref="C88:C89"/>
    <mergeCell ref="A90:A91"/>
    <mergeCell ref="C90:C91"/>
    <mergeCell ref="A181:A182"/>
    <mergeCell ref="C181:C182"/>
    <mergeCell ref="A167:A168"/>
    <mergeCell ref="C167:C168"/>
    <mergeCell ref="A172:A173"/>
    <mergeCell ref="C172:C173"/>
    <mergeCell ref="C164:C166"/>
    <mergeCell ref="A164:A166"/>
    <mergeCell ref="C169:C171"/>
    <mergeCell ref="A169:A171"/>
    <mergeCell ref="C174:C177"/>
    <mergeCell ref="A174:A177"/>
    <mergeCell ref="C178:C180"/>
    <mergeCell ref="A178:A180"/>
    <mergeCell ref="A121:A122"/>
    <mergeCell ref="A123:A124"/>
    <mergeCell ref="A113:A116"/>
    <mergeCell ref="A151:A152"/>
    <mergeCell ref="A22:A23"/>
    <mergeCell ref="C22:C23"/>
    <mergeCell ref="C42:C43"/>
    <mergeCell ref="C36:C37"/>
    <mergeCell ref="A38:A39"/>
    <mergeCell ref="A142:D142"/>
    <mergeCell ref="A130:D130"/>
    <mergeCell ref="A131:D131"/>
    <mergeCell ref="A127:I127"/>
    <mergeCell ref="A125:D125"/>
    <mergeCell ref="A126:D126"/>
    <mergeCell ref="C38:C39"/>
    <mergeCell ref="A52:A53"/>
    <mergeCell ref="C52:C53"/>
    <mergeCell ref="A56:A57"/>
    <mergeCell ref="C56:C57"/>
    <mergeCell ref="A54:A55"/>
    <mergeCell ref="C54:C55"/>
    <mergeCell ref="A76:A77"/>
    <mergeCell ref="C76:C77"/>
    <mergeCell ref="A78:D78"/>
    <mergeCell ref="A79:D79"/>
    <mergeCell ref="A61:I61"/>
    <mergeCell ref="A62:A63"/>
    <mergeCell ref="C62:C63"/>
    <mergeCell ref="A64:A65"/>
    <mergeCell ref="C64:C65"/>
    <mergeCell ref="A50:A51"/>
    <mergeCell ref="A42:A43"/>
    <mergeCell ref="A59:D59"/>
    <mergeCell ref="A60:D60"/>
    <mergeCell ref="C50:C51"/>
    <mergeCell ref="E59:E60"/>
    <mergeCell ref="F59:F60"/>
    <mergeCell ref="E78:E79"/>
    <mergeCell ref="F78:F79"/>
    <mergeCell ref="E83:E84"/>
    <mergeCell ref="A1:I1"/>
    <mergeCell ref="A5:I5"/>
    <mergeCell ref="A6:A7"/>
    <mergeCell ref="C16:C17"/>
    <mergeCell ref="A16:A17"/>
    <mergeCell ref="A32:A33"/>
    <mergeCell ref="C32:C33"/>
    <mergeCell ref="A34:A35"/>
    <mergeCell ref="C34:C35"/>
    <mergeCell ref="A44:A45"/>
    <mergeCell ref="C44:C45"/>
    <mergeCell ref="C6:C7"/>
    <mergeCell ref="A8:A9"/>
    <mergeCell ref="C8:C9"/>
    <mergeCell ref="A10:A11"/>
    <mergeCell ref="C48:C49"/>
    <mergeCell ref="A28:A29"/>
    <mergeCell ref="C28:C29"/>
    <mergeCell ref="A30:A31"/>
    <mergeCell ref="C30:C31"/>
    <mergeCell ref="C10:C11"/>
    <mergeCell ref="A12:A13"/>
    <mergeCell ref="C12:C13"/>
    <mergeCell ref="A14:A15"/>
    <mergeCell ref="C14:C15"/>
    <mergeCell ref="A20:A21"/>
    <mergeCell ref="C20:C21"/>
    <mergeCell ref="A24:A25"/>
    <mergeCell ref="C123:C124"/>
    <mergeCell ref="C46:C47"/>
    <mergeCell ref="A48:A49"/>
    <mergeCell ref="C212:C213"/>
    <mergeCell ref="C214:C215"/>
    <mergeCell ref="C216:C217"/>
    <mergeCell ref="C218:C219"/>
    <mergeCell ref="C220:C221"/>
    <mergeCell ref="C222:C223"/>
    <mergeCell ref="C224:C225"/>
    <mergeCell ref="C226:C227"/>
    <mergeCell ref="A224:A225"/>
    <mergeCell ref="A226:A227"/>
    <mergeCell ref="A228:A229"/>
    <mergeCell ref="A230:A231"/>
    <mergeCell ref="A232:A233"/>
    <mergeCell ref="A26:A27"/>
    <mergeCell ref="A66:A67"/>
    <mergeCell ref="C26:C27"/>
    <mergeCell ref="A36:A37"/>
    <mergeCell ref="C66:C67"/>
    <mergeCell ref="A68:A69"/>
    <mergeCell ref="C68:C69"/>
    <mergeCell ref="A137:A138"/>
    <mergeCell ref="C137:C138"/>
    <mergeCell ref="A139:A140"/>
    <mergeCell ref="C139:C140"/>
    <mergeCell ref="A141:D141"/>
    <mergeCell ref="A132:I132"/>
    <mergeCell ref="A133:A134"/>
    <mergeCell ref="C133:C134"/>
    <mergeCell ref="A234:A235"/>
    <mergeCell ref="C113:C116"/>
    <mergeCell ref="A41:D41"/>
    <mergeCell ref="A46:A47"/>
    <mergeCell ref="A92:D92"/>
    <mergeCell ref="A93:D93"/>
    <mergeCell ref="C121:C122"/>
    <mergeCell ref="A117:A118"/>
    <mergeCell ref="C117:C118"/>
    <mergeCell ref="A119:A120"/>
    <mergeCell ref="C119:C120"/>
    <mergeCell ref="A128:A129"/>
    <mergeCell ref="B128:B129"/>
    <mergeCell ref="C81:C82"/>
    <mergeCell ref="A160:A161"/>
    <mergeCell ref="C160:C161"/>
    <mergeCell ref="A162:A163"/>
    <mergeCell ref="C162:C163"/>
    <mergeCell ref="C128:C129"/>
    <mergeCell ref="C189:C191"/>
    <mergeCell ref="A189:A191"/>
    <mergeCell ref="C192:C194"/>
    <mergeCell ref="A192:A194"/>
    <mergeCell ref="A135:A136"/>
    <mergeCell ref="C135:C136"/>
    <mergeCell ref="A70:A71"/>
    <mergeCell ref="C70:C71"/>
    <mergeCell ref="A72:A73"/>
    <mergeCell ref="C72:C73"/>
    <mergeCell ref="A74:A75"/>
    <mergeCell ref="C74:C75"/>
    <mergeCell ref="A81:A82"/>
    <mergeCell ref="A243:A244"/>
    <mergeCell ref="C243:C244"/>
    <mergeCell ref="A245:A246"/>
    <mergeCell ref="C245:C246"/>
    <mergeCell ref="A247:A248"/>
    <mergeCell ref="C247:C248"/>
    <mergeCell ref="A249:A250"/>
    <mergeCell ref="C249:C250"/>
    <mergeCell ref="A210:A211"/>
    <mergeCell ref="A212:A213"/>
    <mergeCell ref="A214:A215"/>
    <mergeCell ref="A216:A217"/>
    <mergeCell ref="A218:A219"/>
    <mergeCell ref="A220:A221"/>
    <mergeCell ref="B95:B124"/>
    <mergeCell ref="A80:I80"/>
    <mergeCell ref="C95:C103"/>
    <mergeCell ref="C104:C106"/>
    <mergeCell ref="C107:C110"/>
    <mergeCell ref="A241:D241"/>
    <mergeCell ref="A205:I205"/>
    <mergeCell ref="C228:C229"/>
    <mergeCell ref="C230:C231"/>
    <mergeCell ref="C232:C233"/>
    <mergeCell ref="C234:C235"/>
    <mergeCell ref="C236:C237"/>
    <mergeCell ref="C238:C239"/>
    <mergeCell ref="A240:D240"/>
    <mergeCell ref="A206:A207"/>
    <mergeCell ref="C206:C207"/>
    <mergeCell ref="C208:C209"/>
    <mergeCell ref="C210:C211"/>
    <mergeCell ref="G284:G285"/>
    <mergeCell ref="H284:H285"/>
    <mergeCell ref="I284:I285"/>
    <mergeCell ref="A264:A265"/>
    <mergeCell ref="C264:C265"/>
    <mergeCell ref="A266:A267"/>
    <mergeCell ref="C266:C267"/>
    <mergeCell ref="C268:C269"/>
    <mergeCell ref="C270:C271"/>
    <mergeCell ref="C272:C273"/>
    <mergeCell ref="C274:C275"/>
    <mergeCell ref="C276:C277"/>
    <mergeCell ref="A278:A282"/>
    <mergeCell ref="C278:C282"/>
    <mergeCell ref="A283:A285"/>
    <mergeCell ref="C283:C285"/>
    <mergeCell ref="C111:C112"/>
    <mergeCell ref="A251:A252"/>
    <mergeCell ref="C251:C252"/>
    <mergeCell ref="A253:A254"/>
    <mergeCell ref="C253:C254"/>
    <mergeCell ref="A255:A257"/>
    <mergeCell ref="C255:C257"/>
    <mergeCell ref="A258:A259"/>
    <mergeCell ref="C258:C259"/>
    <mergeCell ref="A260:A261"/>
    <mergeCell ref="C260:C261"/>
    <mergeCell ref="A262:A263"/>
    <mergeCell ref="C262:C263"/>
    <mergeCell ref="A236:A237"/>
    <mergeCell ref="A238:A239"/>
    <mergeCell ref="A208:A209"/>
    <mergeCell ref="G307:G308"/>
    <mergeCell ref="H307:H308"/>
    <mergeCell ref="A304:A305"/>
    <mergeCell ref="A306:A308"/>
    <mergeCell ref="C337:C338"/>
    <mergeCell ref="I307:I308"/>
    <mergeCell ref="A309:A310"/>
    <mergeCell ref="C309:C310"/>
    <mergeCell ref="A311:A312"/>
    <mergeCell ref="C311:C312"/>
    <mergeCell ref="A319:A320"/>
    <mergeCell ref="C319:C320"/>
    <mergeCell ref="A318:D318"/>
    <mergeCell ref="A321:A322"/>
    <mergeCell ref="C321:C322"/>
    <mergeCell ref="A292:A293"/>
    <mergeCell ref="C292:C293"/>
    <mergeCell ref="C294:C295"/>
    <mergeCell ref="A294:A295"/>
    <mergeCell ref="A299:A300"/>
    <mergeCell ref="C299:C300"/>
    <mergeCell ref="C304:C305"/>
    <mergeCell ref="F297:F298"/>
    <mergeCell ref="C296:C298"/>
    <mergeCell ref="A296:A298"/>
    <mergeCell ref="E302:E303"/>
    <mergeCell ref="F302:F303"/>
    <mergeCell ref="C301:C303"/>
    <mergeCell ref="A301:A303"/>
    <mergeCell ref="A313:A317"/>
    <mergeCell ref="B243:B317"/>
    <mergeCell ref="C313:C317"/>
    <mergeCell ref="A339:A340"/>
    <mergeCell ref="C339:C340"/>
    <mergeCell ref="A341:A343"/>
    <mergeCell ref="C341:C343"/>
    <mergeCell ref="A344:A347"/>
    <mergeCell ref="C344:C347"/>
    <mergeCell ref="A348:A350"/>
    <mergeCell ref="C348:C350"/>
    <mergeCell ref="D348:D349"/>
    <mergeCell ref="E348:E349"/>
    <mergeCell ref="F348:F349"/>
    <mergeCell ref="A323:A324"/>
    <mergeCell ref="C325:C328"/>
    <mergeCell ref="A329:A330"/>
    <mergeCell ref="C329:C330"/>
    <mergeCell ref="A331:A333"/>
    <mergeCell ref="A334:A336"/>
    <mergeCell ref="C334:C336"/>
    <mergeCell ref="C323:C324"/>
    <mergeCell ref="A337:A338"/>
    <mergeCell ref="G348:G349"/>
    <mergeCell ref="H348:H349"/>
    <mergeCell ref="I348:I349"/>
    <mergeCell ref="A351:A354"/>
    <mergeCell ref="C351:C354"/>
    <mergeCell ref="D351:D353"/>
    <mergeCell ref="A355:A359"/>
    <mergeCell ref="C355:C359"/>
    <mergeCell ref="D355:D356"/>
    <mergeCell ref="A360:A362"/>
    <mergeCell ref="C360:C362"/>
    <mergeCell ref="D360:D361"/>
    <mergeCell ref="A363:A366"/>
    <mergeCell ref="C363:C366"/>
    <mergeCell ref="D363:D365"/>
    <mergeCell ref="G379:G380"/>
    <mergeCell ref="H379:H380"/>
    <mergeCell ref="I379:I380"/>
    <mergeCell ref="H396:H397"/>
    <mergeCell ref="I396:I397"/>
    <mergeCell ref="F396:F397"/>
    <mergeCell ref="G396:G397"/>
    <mergeCell ref="E391:E392"/>
    <mergeCell ref="F391:F392"/>
    <mergeCell ref="G391:G392"/>
    <mergeCell ref="H391:H392"/>
    <mergeCell ref="I391:I392"/>
    <mergeCell ref="C394:C395"/>
    <mergeCell ref="C399:C400"/>
    <mergeCell ref="C401:C402"/>
    <mergeCell ref="A1051:A1052"/>
    <mergeCell ref="C1051:C1052"/>
    <mergeCell ref="A1053:A1054"/>
    <mergeCell ref="C1053:C1054"/>
    <mergeCell ref="A1055:A1056"/>
    <mergeCell ref="A1002:D1002"/>
    <mergeCell ref="A1003:A1004"/>
    <mergeCell ref="A448:A449"/>
    <mergeCell ref="C448:C449"/>
    <mergeCell ref="C1049:C1050"/>
    <mergeCell ref="A989:A990"/>
    <mergeCell ref="C989:C990"/>
    <mergeCell ref="A991:A992"/>
    <mergeCell ref="C991:C992"/>
    <mergeCell ref="A993:A996"/>
    <mergeCell ref="C993:C996"/>
    <mergeCell ref="D993:D995"/>
    <mergeCell ref="A997:A1001"/>
    <mergeCell ref="C997:C1001"/>
    <mergeCell ref="D997:D1000"/>
    <mergeCell ref="G999:G1000"/>
    <mergeCell ref="E999:E1000"/>
    <mergeCell ref="A1080:D1080"/>
    <mergeCell ref="F999:F1000"/>
    <mergeCell ref="A1028:A1029"/>
    <mergeCell ref="C1028:C1029"/>
    <mergeCell ref="A1030:D1030"/>
    <mergeCell ref="A1031:A1032"/>
    <mergeCell ref="C1031:C1032"/>
    <mergeCell ref="A1033:A1034"/>
    <mergeCell ref="C1033:C1034"/>
    <mergeCell ref="A1035:A1036"/>
    <mergeCell ref="C1035:C1036"/>
    <mergeCell ref="A1037:A1038"/>
    <mergeCell ref="C1037:C1038"/>
    <mergeCell ref="A1039:A1040"/>
    <mergeCell ref="C1039:C1040"/>
    <mergeCell ref="A1067:A1068"/>
    <mergeCell ref="C1067:C1068"/>
    <mergeCell ref="A1059:A1060"/>
    <mergeCell ref="C1059:C1060"/>
    <mergeCell ref="A1061:A1062"/>
    <mergeCell ref="C1061:C1062"/>
    <mergeCell ref="A1063:A1064"/>
    <mergeCell ref="C1063:C1064"/>
    <mergeCell ref="A1065:A1066"/>
    <mergeCell ref="C1009:C1010"/>
    <mergeCell ref="A1011:D1011"/>
    <mergeCell ref="A1012:A1013"/>
    <mergeCell ref="C1065:C1066"/>
    <mergeCell ref="C1045:C1046"/>
    <mergeCell ref="A1047:A1048"/>
    <mergeCell ref="C1026:C1027"/>
    <mergeCell ref="D344:D347"/>
    <mergeCell ref="A420:A421"/>
    <mergeCell ref="C420:C421"/>
    <mergeCell ref="A422:A423"/>
    <mergeCell ref="C422:C423"/>
    <mergeCell ref="A424:A425"/>
    <mergeCell ref="C434:C435"/>
    <mergeCell ref="A1043:A1044"/>
    <mergeCell ref="C1043:C1044"/>
    <mergeCell ref="A1045:A1046"/>
    <mergeCell ref="C1047:C1048"/>
    <mergeCell ref="A1049:A1050"/>
    <mergeCell ref="A1024:A1025"/>
    <mergeCell ref="C1024:C1025"/>
    <mergeCell ref="A1026:A1027"/>
    <mergeCell ref="A472:A473"/>
    <mergeCell ref="C403:C404"/>
    <mergeCell ref="C405:C406"/>
    <mergeCell ref="C407:C408"/>
    <mergeCell ref="C409:C410"/>
    <mergeCell ref="C411:C412"/>
    <mergeCell ref="C367:C370"/>
    <mergeCell ref="A378:A380"/>
    <mergeCell ref="C378:C380"/>
    <mergeCell ref="D379:D380"/>
    <mergeCell ref="A389:A390"/>
    <mergeCell ref="C389:C390"/>
    <mergeCell ref="A391:A395"/>
    <mergeCell ref="C391:C393"/>
    <mergeCell ref="D391:D392"/>
    <mergeCell ref="A438:A439"/>
    <mergeCell ref="E396:E397"/>
    <mergeCell ref="E379:E380"/>
    <mergeCell ref="F379:F380"/>
    <mergeCell ref="A367:A370"/>
    <mergeCell ref="D331:D332"/>
    <mergeCell ref="D341:D342"/>
    <mergeCell ref="E417:E418"/>
    <mergeCell ref="F417:F418"/>
    <mergeCell ref="B319:B416"/>
    <mergeCell ref="A381:A382"/>
    <mergeCell ref="C381:C382"/>
    <mergeCell ref="A383:A384"/>
    <mergeCell ref="C383:C384"/>
    <mergeCell ref="A385:A386"/>
    <mergeCell ref="C385:C386"/>
    <mergeCell ref="A325:A328"/>
    <mergeCell ref="D325:D327"/>
    <mergeCell ref="C331:C333"/>
    <mergeCell ref="D334:D335"/>
    <mergeCell ref="A417:D417"/>
    <mergeCell ref="C413:C414"/>
    <mergeCell ref="C415:C416"/>
    <mergeCell ref="A387:A388"/>
    <mergeCell ref="C387:C388"/>
    <mergeCell ref="D367:D369"/>
    <mergeCell ref="A371:A373"/>
    <mergeCell ref="C371:C373"/>
    <mergeCell ref="D371:D372"/>
    <mergeCell ref="A374:A375"/>
    <mergeCell ref="C374:C375"/>
    <mergeCell ref="A376:A377"/>
    <mergeCell ref="C376:C377"/>
    <mergeCell ref="A1279:A1280"/>
    <mergeCell ref="C1279:C1280"/>
    <mergeCell ref="A1281:A1282"/>
    <mergeCell ref="C1281:C1282"/>
    <mergeCell ref="A1283:A1284"/>
    <mergeCell ref="C1283:C1284"/>
    <mergeCell ref="A1285:A1286"/>
    <mergeCell ref="C1285:C1286"/>
    <mergeCell ref="A1310:A1311"/>
    <mergeCell ref="C1310:C1311"/>
    <mergeCell ref="A1312:A1313"/>
    <mergeCell ref="C1312:C1313"/>
    <mergeCell ref="A1314:A1315"/>
    <mergeCell ref="C1314:C1315"/>
    <mergeCell ref="A1316:A1317"/>
    <mergeCell ref="C1316:C1317"/>
    <mergeCell ref="A1318:A1319"/>
    <mergeCell ref="C1318:C1319"/>
    <mergeCell ref="A1298:A1299"/>
    <mergeCell ref="C1298:C1299"/>
    <mergeCell ref="A1300:A1301"/>
    <mergeCell ref="C1300:C1301"/>
    <mergeCell ref="A1302:A1303"/>
    <mergeCell ref="C1302:C1303"/>
    <mergeCell ref="A1304:A1305"/>
    <mergeCell ref="C1304:C1305"/>
    <mergeCell ref="A1306:A1307"/>
    <mergeCell ref="C1306:C1307"/>
    <mergeCell ref="A1308:A1309"/>
    <mergeCell ref="C1308:C1309"/>
    <mergeCell ref="A1328:A1329"/>
    <mergeCell ref="C1328:C1329"/>
    <mergeCell ref="A1330:A1331"/>
    <mergeCell ref="C1330:C1331"/>
    <mergeCell ref="A1332:A1333"/>
    <mergeCell ref="C1332:C1333"/>
    <mergeCell ref="A1334:A1335"/>
    <mergeCell ref="C1334:C1335"/>
    <mergeCell ref="A1336:A1337"/>
    <mergeCell ref="C1336:C1337"/>
    <mergeCell ref="A1338:A1339"/>
    <mergeCell ref="C1338:C1339"/>
    <mergeCell ref="A1320:A1321"/>
    <mergeCell ref="C1320:C1321"/>
    <mergeCell ref="A1322:A1323"/>
    <mergeCell ref="C1322:C1323"/>
    <mergeCell ref="A1324:A1325"/>
    <mergeCell ref="C1324:C1325"/>
    <mergeCell ref="A1326:A1327"/>
    <mergeCell ref="C1326:C1327"/>
    <mergeCell ref="A1352:A1353"/>
    <mergeCell ref="C1352:C1353"/>
    <mergeCell ref="A1354:A1355"/>
    <mergeCell ref="C1354:C1355"/>
    <mergeCell ref="A1356:A1357"/>
    <mergeCell ref="C1356:C1357"/>
    <mergeCell ref="A1358:A1359"/>
    <mergeCell ref="C1358:C1359"/>
    <mergeCell ref="A1360:A1361"/>
    <mergeCell ref="C1360:C1361"/>
    <mergeCell ref="A1362:A1363"/>
    <mergeCell ref="C1362:C1363"/>
    <mergeCell ref="A1340:A1341"/>
    <mergeCell ref="C1340:C1341"/>
    <mergeCell ref="A1342:A1343"/>
    <mergeCell ref="C1342:C1343"/>
    <mergeCell ref="A1344:A1345"/>
    <mergeCell ref="C1344:C1345"/>
    <mergeCell ref="A1346:A1347"/>
    <mergeCell ref="C1346:C1347"/>
    <mergeCell ref="A1348:A1349"/>
    <mergeCell ref="C1348:C1349"/>
    <mergeCell ref="A1350:A1351"/>
    <mergeCell ref="C1350:C1351"/>
    <mergeCell ref="A1376:A1377"/>
    <mergeCell ref="C1376:C1377"/>
    <mergeCell ref="A1378:A1379"/>
    <mergeCell ref="C1378:C1379"/>
    <mergeCell ref="A1380:A1381"/>
    <mergeCell ref="C1380:C1381"/>
    <mergeCell ref="A1382:A1383"/>
    <mergeCell ref="C1382:C1383"/>
    <mergeCell ref="A1384:A1385"/>
    <mergeCell ref="C1384:C1385"/>
    <mergeCell ref="A1386:A1387"/>
    <mergeCell ref="C1386:C1387"/>
    <mergeCell ref="A1364:A1365"/>
    <mergeCell ref="C1364:C1365"/>
    <mergeCell ref="A1366:A1367"/>
    <mergeCell ref="C1366:C1367"/>
    <mergeCell ref="A1368:A1369"/>
    <mergeCell ref="C1368:C1369"/>
    <mergeCell ref="A1370:A1371"/>
    <mergeCell ref="C1370:C1371"/>
    <mergeCell ref="A1372:A1373"/>
    <mergeCell ref="C1372:C1373"/>
    <mergeCell ref="A1374:A1375"/>
    <mergeCell ref="C1374:C1375"/>
    <mergeCell ref="A1400:A1401"/>
    <mergeCell ref="C1400:C1401"/>
    <mergeCell ref="A1402:A1403"/>
    <mergeCell ref="C1402:C1403"/>
    <mergeCell ref="A1404:A1405"/>
    <mergeCell ref="C1404:C1405"/>
    <mergeCell ref="A1406:A1407"/>
    <mergeCell ref="C1406:C1407"/>
    <mergeCell ref="A1408:A1409"/>
    <mergeCell ref="C1408:C1409"/>
    <mergeCell ref="A1410:A1411"/>
    <mergeCell ref="C1410:C1411"/>
    <mergeCell ref="A1388:A1389"/>
    <mergeCell ref="C1388:C1389"/>
    <mergeCell ref="A1390:A1391"/>
    <mergeCell ref="C1390:C1391"/>
    <mergeCell ref="A1392:A1393"/>
    <mergeCell ref="C1392:C1393"/>
    <mergeCell ref="A1394:A1395"/>
    <mergeCell ref="C1394:C1395"/>
    <mergeCell ref="A1396:A1397"/>
    <mergeCell ref="C1396:C1397"/>
    <mergeCell ref="A1398:A1399"/>
    <mergeCell ref="C1398:C1399"/>
    <mergeCell ref="C1428:C1429"/>
    <mergeCell ref="A1430:A1431"/>
    <mergeCell ref="C1430:C1431"/>
    <mergeCell ref="A1432:A1433"/>
    <mergeCell ref="C1432:C1433"/>
    <mergeCell ref="A1434:A1435"/>
    <mergeCell ref="C1434:C1435"/>
    <mergeCell ref="A1412:A1413"/>
    <mergeCell ref="C1412:C1413"/>
    <mergeCell ref="A1414:A1415"/>
    <mergeCell ref="C1414:C1415"/>
    <mergeCell ref="A1416:A1417"/>
    <mergeCell ref="C1416:C1417"/>
    <mergeCell ref="A1418:A1419"/>
    <mergeCell ref="C1418:C1419"/>
    <mergeCell ref="A1420:A1421"/>
    <mergeCell ref="C1420:C1421"/>
    <mergeCell ref="A1422:A1423"/>
    <mergeCell ref="C1422:C1423"/>
    <mergeCell ref="A1426:A1427"/>
    <mergeCell ref="C1426:C1427"/>
    <mergeCell ref="A1428:A1429"/>
    <mergeCell ref="A1488:D1488"/>
    <mergeCell ref="A242:I242"/>
    <mergeCell ref="A1460:D1460"/>
    <mergeCell ref="A1461:D1461"/>
    <mergeCell ref="A1276:I1276"/>
    <mergeCell ref="A1448:A1449"/>
    <mergeCell ref="C1448:C1449"/>
    <mergeCell ref="A1450:A1451"/>
    <mergeCell ref="C1450:C1451"/>
    <mergeCell ref="A1452:A1453"/>
    <mergeCell ref="C1452:C1453"/>
    <mergeCell ref="A1454:A1455"/>
    <mergeCell ref="C1454:C1455"/>
    <mergeCell ref="A1456:A1457"/>
    <mergeCell ref="C1456:C1457"/>
    <mergeCell ref="A1458:A1459"/>
    <mergeCell ref="C1458:C1459"/>
    <mergeCell ref="A1436:A1437"/>
    <mergeCell ref="C1436:C1437"/>
    <mergeCell ref="A1438:A1439"/>
    <mergeCell ref="C1438:C1439"/>
    <mergeCell ref="A1440:A1441"/>
    <mergeCell ref="C1440:C1441"/>
    <mergeCell ref="A1442:A1443"/>
    <mergeCell ref="C1442:C1443"/>
    <mergeCell ref="A1444:A1445"/>
    <mergeCell ref="C1444:C1445"/>
    <mergeCell ref="A1446:A1447"/>
    <mergeCell ref="C1446:C1447"/>
    <mergeCell ref="A1424:A1425"/>
    <mergeCell ref="C1424:C1425"/>
    <mergeCell ref="A1475:A1481"/>
    <mergeCell ref="C1475:C1481"/>
    <mergeCell ref="D1475:D1480"/>
    <mergeCell ref="A1482:A1483"/>
    <mergeCell ref="C1482:C1483"/>
    <mergeCell ref="A1484:A1485"/>
    <mergeCell ref="C1484:C1485"/>
    <mergeCell ref="A1486:D1486"/>
    <mergeCell ref="A1487:D1487"/>
    <mergeCell ref="A1462:I1462"/>
    <mergeCell ref="A1463:A1464"/>
    <mergeCell ref="C1463:C1464"/>
    <mergeCell ref="A1465:A1467"/>
    <mergeCell ref="C1465:C1467"/>
    <mergeCell ref="D1465:D1466"/>
    <mergeCell ref="A1468:A1470"/>
    <mergeCell ref="C1468:C1470"/>
    <mergeCell ref="D1468:D1469"/>
    <mergeCell ref="A1471:A1473"/>
    <mergeCell ref="C1471:C1473"/>
    <mergeCell ref="D1471:D1472"/>
    <mergeCell ref="A1474:D1474"/>
    <mergeCell ref="B1463:B1473"/>
    <mergeCell ref="B1475:B1485"/>
    <mergeCell ref="F1465:F1466"/>
    <mergeCell ref="G1465:G1466"/>
    <mergeCell ref="H1465:H1466"/>
    <mergeCell ref="I1465:I1466"/>
    <mergeCell ref="F83:F84"/>
    <mergeCell ref="E92:E93"/>
    <mergeCell ref="F92:F93"/>
    <mergeCell ref="E130:E131"/>
    <mergeCell ref="F130:F131"/>
    <mergeCell ref="B133:B140"/>
    <mergeCell ref="E141:E142"/>
    <mergeCell ref="F141:F142"/>
    <mergeCell ref="A155:A159"/>
    <mergeCell ref="C155:C159"/>
    <mergeCell ref="B62:B77"/>
    <mergeCell ref="B86:B91"/>
    <mergeCell ref="A94:I94"/>
    <mergeCell ref="E96:E103"/>
    <mergeCell ref="F96:F103"/>
    <mergeCell ref="A95:A103"/>
    <mergeCell ref="A104:A106"/>
    <mergeCell ref="E105:E106"/>
    <mergeCell ref="F105:F106"/>
    <mergeCell ref="A107:A110"/>
    <mergeCell ref="A111:A112"/>
    <mergeCell ref="E108:E110"/>
    <mergeCell ref="F108:F110"/>
    <mergeCell ref="E114:E116"/>
    <mergeCell ref="F114:F116"/>
    <mergeCell ref="B81:B82"/>
    <mergeCell ref="E125:E126"/>
    <mergeCell ref="F125:F126"/>
    <mergeCell ref="C151:C152"/>
    <mergeCell ref="A153:A154"/>
    <mergeCell ref="C153:C154"/>
    <mergeCell ref="A147:A148"/>
    <mergeCell ref="F1128:F1135"/>
    <mergeCell ref="E1140:E1142"/>
    <mergeCell ref="F1140:F1142"/>
    <mergeCell ref="E1150:E1155"/>
    <mergeCell ref="F1150:F1155"/>
    <mergeCell ref="C195:C197"/>
    <mergeCell ref="A195:A197"/>
    <mergeCell ref="C198:C200"/>
    <mergeCell ref="A198:A200"/>
    <mergeCell ref="E203:E204"/>
    <mergeCell ref="F203:F204"/>
    <mergeCell ref="B144:B202"/>
    <mergeCell ref="B206:B239"/>
    <mergeCell ref="E240:E241"/>
    <mergeCell ref="F240:F241"/>
    <mergeCell ref="E256:E257"/>
    <mergeCell ref="F256:F257"/>
    <mergeCell ref="E279:E282"/>
    <mergeCell ref="F279:F282"/>
    <mergeCell ref="E145:E146"/>
    <mergeCell ref="F145:F146"/>
    <mergeCell ref="E196:E197"/>
    <mergeCell ref="F196:F197"/>
    <mergeCell ref="E199:E200"/>
    <mergeCell ref="F199:F200"/>
    <mergeCell ref="E193:E194"/>
    <mergeCell ref="E170:E171"/>
    <mergeCell ref="F170:F171"/>
    <mergeCell ref="E165:E166"/>
    <mergeCell ref="F165:F166"/>
    <mergeCell ref="E297:E298"/>
    <mergeCell ref="E156:E159"/>
    <mergeCell ref="E1460:E1461"/>
    <mergeCell ref="F1460:F1461"/>
    <mergeCell ref="A1291:A1293"/>
    <mergeCell ref="C1291:C1293"/>
    <mergeCell ref="E1292:E1293"/>
    <mergeCell ref="F1292:F1293"/>
    <mergeCell ref="F1157:F1158"/>
    <mergeCell ref="E1164:E1187"/>
    <mergeCell ref="F1164:F1187"/>
    <mergeCell ref="E1208:E1209"/>
    <mergeCell ref="F1208:F1209"/>
    <mergeCell ref="F1228:F1229"/>
    <mergeCell ref="E1235:E1243"/>
    <mergeCell ref="F1235:F1243"/>
    <mergeCell ref="E1245:E1254"/>
    <mergeCell ref="F1245:F1254"/>
    <mergeCell ref="E1256:E1260"/>
    <mergeCell ref="F1256:F1260"/>
    <mergeCell ref="E1262:E1270"/>
    <mergeCell ref="F1262:F1270"/>
    <mergeCell ref="B1082:B1273"/>
    <mergeCell ref="F1084:F1087"/>
    <mergeCell ref="E1097:E1101"/>
    <mergeCell ref="F1097:F1101"/>
    <mergeCell ref="E1104:E1109"/>
    <mergeCell ref="F1104:F1109"/>
    <mergeCell ref="E1112:E1113"/>
    <mergeCell ref="F1112:F1113"/>
    <mergeCell ref="A1114:A1120"/>
    <mergeCell ref="E1116:E1120"/>
    <mergeCell ref="F1116:F1120"/>
    <mergeCell ref="C1121:C1123"/>
    <mergeCell ref="E314:E317"/>
    <mergeCell ref="F314:F317"/>
    <mergeCell ref="A286:A291"/>
    <mergeCell ref="C286:C291"/>
    <mergeCell ref="E287:E291"/>
    <mergeCell ref="F287:F291"/>
    <mergeCell ref="C306:C308"/>
    <mergeCell ref="D307:D308"/>
    <mergeCell ref="E307:E308"/>
    <mergeCell ref="F307:F308"/>
    <mergeCell ref="A268:A269"/>
    <mergeCell ref="A270:A271"/>
    <mergeCell ref="A272:A273"/>
    <mergeCell ref="A274:A275"/>
    <mergeCell ref="A276:A277"/>
    <mergeCell ref="D284:D285"/>
    <mergeCell ref="E284:E285"/>
    <mergeCell ref="F284:F285"/>
  </mergeCells>
  <pageMargins left="0.70866141732283472" right="0.70866141732283472" top="0.43" bottom="0.27559055118110237" header="0.31496062992125984" footer="0.19685039370078741"/>
  <pageSetup paperSize="9" scale="58" fitToHeight="0" orientation="landscape" r:id="rId1"/>
  <rowBreaks count="2" manualBreakCount="2">
    <brk id="1014" max="8" man="1"/>
    <brk id="103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29"/>
  <sheetViews>
    <sheetView workbookViewId="0">
      <selection activeCell="D1" sqref="D1"/>
    </sheetView>
  </sheetViews>
  <sheetFormatPr defaultRowHeight="15" x14ac:dyDescent="0.25"/>
  <cols>
    <col min="4" max="4" width="28.5703125" customWidth="1"/>
    <col min="5" max="5" width="19" customWidth="1"/>
    <col min="6" max="6" width="24.7109375" customWidth="1"/>
    <col min="7" max="7" width="17.7109375" customWidth="1"/>
    <col min="8" max="8" width="16.42578125" customWidth="1"/>
    <col min="9" max="9" width="16.85546875" customWidth="1"/>
  </cols>
  <sheetData>
    <row r="1" spans="1:9" ht="15" customHeight="1" x14ac:dyDescent="0.25">
      <c r="A1" s="40" t="s">
        <v>443</v>
      </c>
      <c r="B1" s="41"/>
      <c r="C1" s="41"/>
      <c r="D1" s="41"/>
      <c r="E1" s="41"/>
      <c r="F1" s="41"/>
      <c r="G1" s="41"/>
      <c r="H1" s="41"/>
      <c r="I1" s="42"/>
    </row>
    <row r="2" spans="1:9" hidden="1" x14ac:dyDescent="0.25">
      <c r="A2" s="116" t="s">
        <v>73</v>
      </c>
      <c r="B2" s="116" t="s">
        <v>297</v>
      </c>
      <c r="C2" s="116" t="s">
        <v>298</v>
      </c>
      <c r="D2" s="116" t="s">
        <v>444</v>
      </c>
      <c r="E2" s="36" t="s">
        <v>300</v>
      </c>
      <c r="F2" s="36" t="s">
        <v>426</v>
      </c>
      <c r="G2" s="19">
        <v>76912</v>
      </c>
      <c r="H2" s="19">
        <v>65560</v>
      </c>
      <c r="I2" s="19">
        <v>63674</v>
      </c>
    </row>
    <row r="3" spans="1:9" hidden="1" x14ac:dyDescent="0.25">
      <c r="A3" s="118"/>
      <c r="B3" s="118"/>
      <c r="C3" s="118"/>
      <c r="D3" s="141"/>
      <c r="E3" s="36" t="s">
        <v>300</v>
      </c>
      <c r="F3" s="36" t="s">
        <v>426</v>
      </c>
      <c r="G3" s="19">
        <v>16577</v>
      </c>
      <c r="H3" s="19">
        <v>14886</v>
      </c>
      <c r="I3" s="19">
        <v>14494</v>
      </c>
    </row>
    <row r="4" spans="1:9" ht="30" hidden="1" x14ac:dyDescent="0.25">
      <c r="A4" s="118"/>
      <c r="B4" s="118"/>
      <c r="C4" s="118"/>
      <c r="D4" s="39" t="s">
        <v>445</v>
      </c>
      <c r="E4" s="116" t="s">
        <v>16</v>
      </c>
      <c r="F4" s="34" t="s">
        <v>301</v>
      </c>
      <c r="G4" s="19" t="s">
        <v>301</v>
      </c>
      <c r="H4" s="19" t="s">
        <v>301</v>
      </c>
      <c r="I4" s="19" t="s">
        <v>301</v>
      </c>
    </row>
    <row r="5" spans="1:9" hidden="1" x14ac:dyDescent="0.25">
      <c r="A5" s="118"/>
      <c r="B5" s="118"/>
      <c r="C5" s="118"/>
      <c r="D5" s="36" t="s">
        <v>302</v>
      </c>
      <c r="E5" s="118"/>
      <c r="F5" s="116" t="s">
        <v>68</v>
      </c>
      <c r="G5" s="20">
        <f>501.8+441.5+721.19+972.6+623.18+663.47+1218.28+499.8+602.4+607.6+464.8+505.5+1214.6+531.2+325.49+1865.1+1185.38+633.77+1212.4+628.7+717.75+482.09+763.5+368.28+713.1+1309.88+439.32</f>
        <v>20212.679999999997</v>
      </c>
      <c r="H5" s="20">
        <v>19828.57</v>
      </c>
      <c r="I5" s="20">
        <f>556.35+394.4+763.66+1750.9+445.06+613.61+1350.55+569+641.15+1298.3+439.6+1047.6+537.1+387.49+1889.52+1347.3+642.05+1281.9+667.5+888.41+569.6+562.19+448.22+815.8+1370.3+643.24</f>
        <v>21920.799999999999</v>
      </c>
    </row>
    <row r="6" spans="1:9" hidden="1" x14ac:dyDescent="0.25">
      <c r="A6" s="118"/>
      <c r="B6" s="118"/>
      <c r="C6" s="118"/>
      <c r="D6" s="36" t="s">
        <v>303</v>
      </c>
      <c r="E6" s="118"/>
      <c r="F6" s="183"/>
      <c r="G6" s="20">
        <f>1020.6+659.3</f>
        <v>1679.9</v>
      </c>
      <c r="H6" s="20">
        <v>2523.44</v>
      </c>
      <c r="I6" s="20">
        <f>1713+1000.2</f>
        <v>2713.2</v>
      </c>
    </row>
    <row r="7" spans="1:9" hidden="1" x14ac:dyDescent="0.25">
      <c r="A7" s="118"/>
      <c r="B7" s="118"/>
      <c r="C7" s="118"/>
      <c r="D7" s="36" t="s">
        <v>304</v>
      </c>
      <c r="E7" s="118"/>
      <c r="F7" s="183"/>
      <c r="G7" s="20"/>
      <c r="H7" s="20"/>
      <c r="I7" s="20"/>
    </row>
    <row r="8" spans="1:9" hidden="1" x14ac:dyDescent="0.25">
      <c r="A8" s="118"/>
      <c r="B8" s="118"/>
      <c r="C8" s="118"/>
      <c r="D8" s="36" t="s">
        <v>305</v>
      </c>
      <c r="E8" s="118"/>
      <c r="F8" s="183"/>
      <c r="G8" s="20">
        <f>377.8</f>
        <v>377.8</v>
      </c>
      <c r="H8" s="20">
        <f>147.57</f>
        <v>147.57</v>
      </c>
      <c r="I8" s="20">
        <f>147.5</f>
        <v>147.5</v>
      </c>
    </row>
    <row r="9" spans="1:9" hidden="1" x14ac:dyDescent="0.25">
      <c r="A9" s="117"/>
      <c r="B9" s="117"/>
      <c r="C9" s="117"/>
      <c r="D9" s="34" t="s">
        <v>306</v>
      </c>
      <c r="E9" s="117"/>
      <c r="F9" s="141"/>
      <c r="G9" s="20">
        <f>2622.35</f>
        <v>2622.35</v>
      </c>
      <c r="H9" s="20">
        <v>3048.9</v>
      </c>
      <c r="I9" s="20">
        <f>3373.91</f>
        <v>3373.91</v>
      </c>
    </row>
    <row r="10" spans="1:9" hidden="1" x14ac:dyDescent="0.25">
      <c r="A10" s="116" t="s">
        <v>69</v>
      </c>
      <c r="B10" s="116" t="s">
        <v>297</v>
      </c>
      <c r="C10" s="116" t="s">
        <v>307</v>
      </c>
      <c r="D10" s="116" t="s">
        <v>446</v>
      </c>
      <c r="E10" s="36" t="s">
        <v>226</v>
      </c>
      <c r="F10" s="36" t="s">
        <v>426</v>
      </c>
      <c r="G10" s="19">
        <v>113897</v>
      </c>
      <c r="H10" s="19">
        <v>84680</v>
      </c>
      <c r="I10" s="19">
        <v>79444</v>
      </c>
    </row>
    <row r="11" spans="1:9" hidden="1" x14ac:dyDescent="0.25">
      <c r="A11" s="118"/>
      <c r="B11" s="118"/>
      <c r="C11" s="118"/>
      <c r="D11" s="141"/>
      <c r="E11" s="36" t="s">
        <v>300</v>
      </c>
      <c r="F11" s="36" t="s">
        <v>426</v>
      </c>
      <c r="G11" s="19">
        <v>19256</v>
      </c>
      <c r="H11" s="19">
        <v>16081</v>
      </c>
      <c r="I11" s="19">
        <v>15030</v>
      </c>
    </row>
    <row r="12" spans="1:9" ht="30" hidden="1" x14ac:dyDescent="0.25">
      <c r="A12" s="118"/>
      <c r="B12" s="118"/>
      <c r="C12" s="118"/>
      <c r="D12" s="39" t="s">
        <v>445</v>
      </c>
      <c r="E12" s="116" t="s">
        <v>16</v>
      </c>
      <c r="F12" s="34" t="s">
        <v>301</v>
      </c>
      <c r="G12" s="19" t="s">
        <v>301</v>
      </c>
      <c r="H12" s="19" t="s">
        <v>301</v>
      </c>
      <c r="I12" s="19" t="s">
        <v>301</v>
      </c>
    </row>
    <row r="13" spans="1:9" hidden="1" x14ac:dyDescent="0.25">
      <c r="A13" s="118"/>
      <c r="B13" s="118"/>
      <c r="C13" s="118"/>
      <c r="D13" s="36" t="s">
        <v>308</v>
      </c>
      <c r="E13" s="118"/>
      <c r="F13" s="116" t="s">
        <v>68</v>
      </c>
      <c r="G13" s="20">
        <f>946.2+757.6+918.07+1698.8+623.18+948.81+1218.78+501.7+602.35+911.2+1015+843+1737.1+253.89+2300.78+1381.64+913.07+1212.4+749.1+912.84+482.09+1214.65+327.06+723.5+2588.22+776.8</f>
        <v>26557.830000000005</v>
      </c>
      <c r="H13" s="20">
        <v>25512.35</v>
      </c>
      <c r="I13" s="20">
        <f>1171.63+703.4+983.76+2130.8+457.9+842.33+1425.15+591.6+641.15+1878.3+743.2+1763.5+807.9+2309.44+1298.89+521.6+1281.9+795.5+1127.11+569.6+856.15+386.51+827.1+2707.61+751.06</f>
        <v>27573.089999999997</v>
      </c>
    </row>
    <row r="14" spans="1:9" hidden="1" x14ac:dyDescent="0.25">
      <c r="A14" s="118"/>
      <c r="B14" s="118"/>
      <c r="C14" s="118"/>
      <c r="D14" s="36" t="s">
        <v>303</v>
      </c>
      <c r="E14" s="118"/>
      <c r="F14" s="183"/>
      <c r="G14" s="20">
        <f>898.3+659.3</f>
        <v>1557.6</v>
      </c>
      <c r="H14" s="20">
        <v>2488.35</v>
      </c>
      <c r="I14" s="20">
        <f>1674+1145.7</f>
        <v>2819.7</v>
      </c>
    </row>
    <row r="15" spans="1:9" hidden="1" x14ac:dyDescent="0.25">
      <c r="A15" s="118"/>
      <c r="B15" s="118"/>
      <c r="C15" s="118"/>
      <c r="D15" s="36" t="s">
        <v>309</v>
      </c>
      <c r="E15" s="118"/>
      <c r="F15" s="183"/>
      <c r="G15" s="20">
        <f>1581.97</f>
        <v>1581.97</v>
      </c>
      <c r="H15" s="20">
        <v>1559.6</v>
      </c>
      <c r="I15" s="20">
        <f>1793.44</f>
        <v>1793.44</v>
      </c>
    </row>
    <row r="16" spans="1:9" hidden="1" x14ac:dyDescent="0.25">
      <c r="A16" s="118"/>
      <c r="B16" s="118"/>
      <c r="C16" s="118"/>
      <c r="D16" s="36" t="s">
        <v>310</v>
      </c>
      <c r="E16" s="118"/>
      <c r="F16" s="183"/>
      <c r="G16" s="20">
        <f>414</f>
        <v>414</v>
      </c>
      <c r="H16" s="20"/>
      <c r="I16" s="20"/>
    </row>
    <row r="17" spans="1:9" hidden="1" x14ac:dyDescent="0.25">
      <c r="A17" s="117"/>
      <c r="B17" s="117"/>
      <c r="C17" s="117"/>
      <c r="D17" s="34" t="s">
        <v>306</v>
      </c>
      <c r="E17" s="117"/>
      <c r="F17" s="141"/>
      <c r="G17" s="20">
        <f>3659.55</f>
        <v>3659.55</v>
      </c>
      <c r="H17" s="20">
        <v>3549.28</v>
      </c>
      <c r="I17" s="20">
        <f>3928.56</f>
        <v>3928.56</v>
      </c>
    </row>
    <row r="18" spans="1:9" hidden="1" x14ac:dyDescent="0.25">
      <c r="A18" s="125" t="s">
        <v>70</v>
      </c>
      <c r="B18" s="116" t="s">
        <v>297</v>
      </c>
      <c r="C18" s="116" t="s">
        <v>311</v>
      </c>
      <c r="D18" s="116" t="s">
        <v>449</v>
      </c>
      <c r="E18" s="36" t="s">
        <v>226</v>
      </c>
      <c r="F18" s="36" t="s">
        <v>426</v>
      </c>
      <c r="G18" s="19">
        <v>22951</v>
      </c>
      <c r="H18" s="19">
        <v>25053</v>
      </c>
      <c r="I18" s="19">
        <v>20300</v>
      </c>
    </row>
    <row r="19" spans="1:9" hidden="1" x14ac:dyDescent="0.25">
      <c r="A19" s="126"/>
      <c r="B19" s="118"/>
      <c r="C19" s="118"/>
      <c r="D19" s="141"/>
      <c r="E19" s="36" t="s">
        <v>300</v>
      </c>
      <c r="F19" s="36" t="s">
        <v>426</v>
      </c>
      <c r="G19" s="19">
        <v>12219</v>
      </c>
      <c r="H19" s="19">
        <v>11127</v>
      </c>
      <c r="I19" s="19">
        <v>8748</v>
      </c>
    </row>
    <row r="20" spans="1:9" ht="30" hidden="1" x14ac:dyDescent="0.25">
      <c r="A20" s="126"/>
      <c r="B20" s="118"/>
      <c r="C20" s="118"/>
      <c r="D20" s="39" t="s">
        <v>445</v>
      </c>
      <c r="E20" s="116" t="s">
        <v>16</v>
      </c>
      <c r="F20" s="34" t="s">
        <v>301</v>
      </c>
      <c r="G20" s="19" t="s">
        <v>301</v>
      </c>
      <c r="H20" s="19" t="s">
        <v>301</v>
      </c>
      <c r="I20" s="19" t="s">
        <v>301</v>
      </c>
    </row>
    <row r="21" spans="1:9" hidden="1" x14ac:dyDescent="0.25">
      <c r="A21" s="126"/>
      <c r="B21" s="118"/>
      <c r="C21" s="118"/>
      <c r="D21" s="36" t="s">
        <v>312</v>
      </c>
      <c r="E21" s="118"/>
      <c r="F21" s="116" t="s">
        <v>68</v>
      </c>
      <c r="G21" s="20">
        <f>197.7+225.9+187.95+451.2+691.58+413.24+735+379.46+277.64+1390.68+57.45+492.2</f>
        <v>5499.9999999999991</v>
      </c>
      <c r="H21" s="20">
        <v>5849.85</v>
      </c>
      <c r="I21" s="20">
        <f>660.5+246.66+168.8+813+397.69+983.11+70.2+780.4+469.68+402.49+553.09+77.11+514.91</f>
        <v>6137.6399999999994</v>
      </c>
    </row>
    <row r="22" spans="1:9" hidden="1" x14ac:dyDescent="0.25">
      <c r="A22" s="126"/>
      <c r="B22" s="118"/>
      <c r="C22" s="118"/>
      <c r="D22" s="36" t="s">
        <v>303</v>
      </c>
      <c r="E22" s="118"/>
      <c r="F22" s="183"/>
      <c r="G22" s="20">
        <f>311.1+543.5</f>
        <v>854.6</v>
      </c>
      <c r="H22" s="20">
        <v>1266.29</v>
      </c>
      <c r="I22" s="20">
        <f>506.2+893.6</f>
        <v>1399.8</v>
      </c>
    </row>
    <row r="23" spans="1:9" hidden="1" x14ac:dyDescent="0.25">
      <c r="A23" s="126"/>
      <c r="B23" s="118"/>
      <c r="C23" s="118"/>
      <c r="D23" s="36" t="s">
        <v>309</v>
      </c>
      <c r="E23" s="118"/>
      <c r="F23" s="183"/>
      <c r="G23" s="20">
        <f>811.26</f>
        <v>811.26</v>
      </c>
      <c r="H23" s="20">
        <v>799.5</v>
      </c>
      <c r="I23" s="20">
        <f>919.71</f>
        <v>919.71</v>
      </c>
    </row>
    <row r="24" spans="1:9" hidden="1" x14ac:dyDescent="0.25">
      <c r="A24" s="126"/>
      <c r="B24" s="118"/>
      <c r="C24" s="118"/>
      <c r="D24" s="36" t="s">
        <v>310</v>
      </c>
      <c r="E24" s="118"/>
      <c r="F24" s="183"/>
      <c r="G24" s="20">
        <f>6538.16</f>
        <v>6538.16</v>
      </c>
      <c r="H24" s="20">
        <v>7076.49</v>
      </c>
      <c r="I24" s="20">
        <f>7252.78</f>
        <v>7252.78</v>
      </c>
    </row>
    <row r="25" spans="1:9" hidden="1" x14ac:dyDescent="0.25">
      <c r="A25" s="184"/>
      <c r="B25" s="141"/>
      <c r="C25" s="141"/>
      <c r="D25" s="34" t="s">
        <v>306</v>
      </c>
      <c r="E25" s="117"/>
      <c r="F25" s="141"/>
      <c r="G25" s="20">
        <f>426.33</f>
        <v>426.33</v>
      </c>
      <c r="H25" s="20">
        <v>275.39999999999998</v>
      </c>
      <c r="I25" s="20">
        <f>298.57</f>
        <v>298.57</v>
      </c>
    </row>
    <row r="26" spans="1:9" hidden="1" x14ac:dyDescent="0.25">
      <c r="A26" s="116" t="s">
        <v>74</v>
      </c>
      <c r="B26" s="116" t="s">
        <v>297</v>
      </c>
      <c r="C26" s="116" t="s">
        <v>313</v>
      </c>
      <c r="D26" s="116" t="s">
        <v>450</v>
      </c>
      <c r="E26" s="34" t="s">
        <v>226</v>
      </c>
      <c r="F26" s="34" t="s">
        <v>426</v>
      </c>
      <c r="G26" s="21">
        <v>78512</v>
      </c>
      <c r="H26" s="21">
        <v>62166</v>
      </c>
      <c r="I26" s="21">
        <v>57080</v>
      </c>
    </row>
    <row r="27" spans="1:9" hidden="1" x14ac:dyDescent="0.25">
      <c r="A27" s="118"/>
      <c r="B27" s="118"/>
      <c r="C27" s="118"/>
      <c r="D27" s="141"/>
      <c r="E27" s="36" t="s">
        <v>300</v>
      </c>
      <c r="F27" s="36" t="s">
        <v>426</v>
      </c>
      <c r="G27" s="19">
        <v>16773</v>
      </c>
      <c r="H27" s="19">
        <v>12974</v>
      </c>
      <c r="I27" s="19">
        <v>12134</v>
      </c>
    </row>
    <row r="28" spans="1:9" ht="30" hidden="1" x14ac:dyDescent="0.25">
      <c r="A28" s="118"/>
      <c r="B28" s="118"/>
      <c r="C28" s="118"/>
      <c r="D28" s="39" t="s">
        <v>445</v>
      </c>
      <c r="E28" s="116" t="s">
        <v>16</v>
      </c>
      <c r="F28" s="34" t="s">
        <v>301</v>
      </c>
      <c r="G28" s="19" t="s">
        <v>301</v>
      </c>
      <c r="H28" s="19" t="s">
        <v>301</v>
      </c>
      <c r="I28" s="19" t="s">
        <v>301</v>
      </c>
    </row>
    <row r="29" spans="1:9" hidden="1" x14ac:dyDescent="0.25">
      <c r="A29" s="118"/>
      <c r="B29" s="118"/>
      <c r="C29" s="118"/>
      <c r="D29" s="36" t="s">
        <v>314</v>
      </c>
      <c r="E29" s="118"/>
      <c r="F29" s="116" t="s">
        <v>68</v>
      </c>
      <c r="G29" s="20">
        <f>621.2+1775.67+2512.3+101.27+482.92+911.08+668.5+206.9+802.3+1292.6+1009.58+413.17+468.6+734.1+506.6+1496.34+1214.65+441.31+994.6+1720.37+144.83</f>
        <v>18518.89</v>
      </c>
      <c r="H29" s="20">
        <v>20945.009999999998</v>
      </c>
      <c r="I29" s="20">
        <f>629.42+2819.99+3187.5+1.2+393.72+228.6+1031.2+178.3+782.9+1683.05+1114.52+960.58+501.27+776.1+537.8+1861.78+1144.81+646.57+1140.4+1799.73+191.22</f>
        <v>21610.660000000003</v>
      </c>
    </row>
    <row r="30" spans="1:9" hidden="1" x14ac:dyDescent="0.25">
      <c r="A30" s="118"/>
      <c r="B30" s="118"/>
      <c r="C30" s="118"/>
      <c r="D30" s="36" t="s">
        <v>310</v>
      </c>
      <c r="E30" s="118"/>
      <c r="F30" s="183"/>
      <c r="G30" s="20">
        <f>551.05</f>
        <v>551.04999999999995</v>
      </c>
      <c r="H30" s="20">
        <v>1003.64</v>
      </c>
      <c r="I30" s="20">
        <f>1029.3</f>
        <v>1029.3</v>
      </c>
    </row>
    <row r="31" spans="1:9" hidden="1" x14ac:dyDescent="0.25">
      <c r="A31" s="118"/>
      <c r="B31" s="118"/>
      <c r="C31" s="118"/>
      <c r="D31" s="36" t="s">
        <v>309</v>
      </c>
      <c r="E31" s="118"/>
      <c r="F31" s="183"/>
      <c r="G31" s="20">
        <f>1663.1</f>
        <v>1663.1</v>
      </c>
      <c r="H31" s="20">
        <v>1639.5</v>
      </c>
      <c r="I31" s="20">
        <f>1885.42</f>
        <v>1885.42</v>
      </c>
    </row>
    <row r="32" spans="1:9" hidden="1" x14ac:dyDescent="0.25">
      <c r="A32" s="118"/>
      <c r="B32" s="118"/>
      <c r="C32" s="118"/>
      <c r="D32" s="36" t="s">
        <v>315</v>
      </c>
      <c r="E32" s="118"/>
      <c r="F32" s="183"/>
      <c r="G32" s="20">
        <f>3080.3</f>
        <v>3080.3</v>
      </c>
      <c r="H32" s="20">
        <v>3092.55</v>
      </c>
      <c r="I32" s="20">
        <f>3284.9</f>
        <v>3284.9</v>
      </c>
    </row>
    <row r="33" spans="1:9" hidden="1" x14ac:dyDescent="0.25">
      <c r="A33" s="118"/>
      <c r="B33" s="118"/>
      <c r="C33" s="118"/>
      <c r="D33" s="36" t="s">
        <v>303</v>
      </c>
      <c r="E33" s="118"/>
      <c r="F33" s="183"/>
      <c r="G33" s="20">
        <f>904.84</f>
        <v>904.84</v>
      </c>
      <c r="H33" s="20">
        <v>1350.22</v>
      </c>
      <c r="I33" s="20">
        <f>1415.22</f>
        <v>1415.22</v>
      </c>
    </row>
    <row r="34" spans="1:9" hidden="1" x14ac:dyDescent="0.25">
      <c r="A34" s="117"/>
      <c r="B34" s="117"/>
      <c r="C34" s="117"/>
      <c r="D34" s="36" t="s">
        <v>306</v>
      </c>
      <c r="E34" s="117"/>
      <c r="F34" s="141"/>
      <c r="G34" s="20">
        <f>1808.8</f>
        <v>1808.8</v>
      </c>
      <c r="H34" s="20">
        <v>1674.67</v>
      </c>
      <c r="I34" s="20">
        <f>1820.75</f>
        <v>1820.75</v>
      </c>
    </row>
    <row r="35" spans="1:9" hidden="1" x14ac:dyDescent="0.25">
      <c r="A35" s="116" t="s">
        <v>75</v>
      </c>
      <c r="B35" s="116" t="s">
        <v>297</v>
      </c>
      <c r="C35" s="125" t="s">
        <v>316</v>
      </c>
      <c r="D35" s="116" t="s">
        <v>451</v>
      </c>
      <c r="E35" s="36" t="s">
        <v>226</v>
      </c>
      <c r="F35" s="36" t="s">
        <v>426</v>
      </c>
      <c r="G35" s="19">
        <v>40541</v>
      </c>
      <c r="H35" s="19">
        <v>32463</v>
      </c>
      <c r="I35" s="19">
        <v>33410</v>
      </c>
    </row>
    <row r="36" spans="1:9" hidden="1" x14ac:dyDescent="0.25">
      <c r="A36" s="118"/>
      <c r="B36" s="118"/>
      <c r="C36" s="126"/>
      <c r="D36" s="117"/>
      <c r="E36" s="36" t="s">
        <v>300</v>
      </c>
      <c r="F36" s="36" t="s">
        <v>426</v>
      </c>
      <c r="G36" s="19">
        <v>21002</v>
      </c>
      <c r="H36" s="19">
        <v>13367</v>
      </c>
      <c r="I36" s="19">
        <v>13739</v>
      </c>
    </row>
    <row r="37" spans="1:9" ht="30" hidden="1" x14ac:dyDescent="0.25">
      <c r="A37" s="118"/>
      <c r="B37" s="118"/>
      <c r="C37" s="126"/>
      <c r="D37" s="36" t="s">
        <v>445</v>
      </c>
      <c r="E37" s="116" t="s">
        <v>16</v>
      </c>
      <c r="F37" s="36" t="s">
        <v>301</v>
      </c>
      <c r="G37" s="19" t="s">
        <v>301</v>
      </c>
      <c r="H37" s="19" t="s">
        <v>301</v>
      </c>
      <c r="I37" s="19" t="s">
        <v>301</v>
      </c>
    </row>
    <row r="38" spans="1:9" hidden="1" x14ac:dyDescent="0.25">
      <c r="A38" s="118"/>
      <c r="B38" s="118"/>
      <c r="C38" s="126"/>
      <c r="D38" s="36" t="s">
        <v>304</v>
      </c>
      <c r="E38" s="118"/>
      <c r="F38" s="183"/>
      <c r="G38" s="20">
        <f>17943.03</f>
        <v>17943.03</v>
      </c>
      <c r="H38" s="20">
        <v>18663.43</v>
      </c>
      <c r="I38" s="20">
        <f>20352.03</f>
        <v>20352.03</v>
      </c>
    </row>
    <row r="39" spans="1:9" hidden="1" x14ac:dyDescent="0.25">
      <c r="A39" s="117"/>
      <c r="B39" s="117"/>
      <c r="C39" s="127"/>
      <c r="D39" s="36" t="s">
        <v>315</v>
      </c>
      <c r="E39" s="117"/>
      <c r="F39" s="141"/>
      <c r="G39" s="20">
        <f>28789.3</f>
        <v>28789.3</v>
      </c>
      <c r="H39" s="20">
        <v>30259.03</v>
      </c>
      <c r="I39" s="20">
        <f>32218.5</f>
        <v>32218.5</v>
      </c>
    </row>
    <row r="40" spans="1:9" hidden="1" x14ac:dyDescent="0.25">
      <c r="A40" s="35"/>
      <c r="B40" s="116" t="s">
        <v>297</v>
      </c>
      <c r="C40" s="125" t="s">
        <v>317</v>
      </c>
      <c r="D40" s="116" t="s">
        <v>452</v>
      </c>
      <c r="E40" s="39" t="s">
        <v>226</v>
      </c>
      <c r="F40" s="39" t="s">
        <v>426</v>
      </c>
      <c r="G40" s="19">
        <v>3500</v>
      </c>
      <c r="H40" s="19">
        <v>6000</v>
      </c>
      <c r="I40" s="19">
        <v>6300</v>
      </c>
    </row>
    <row r="41" spans="1:9" hidden="1" x14ac:dyDescent="0.25">
      <c r="A41" s="35" t="s">
        <v>76</v>
      </c>
      <c r="B41" s="118"/>
      <c r="C41" s="126"/>
      <c r="D41" s="117"/>
      <c r="E41" s="39" t="s">
        <v>300</v>
      </c>
      <c r="F41" s="39" t="s">
        <v>426</v>
      </c>
      <c r="G41" s="19">
        <v>9975</v>
      </c>
      <c r="H41" s="19">
        <v>9000</v>
      </c>
      <c r="I41" s="19">
        <v>9902</v>
      </c>
    </row>
    <row r="42" spans="1:9" ht="30" hidden="1" x14ac:dyDescent="0.25">
      <c r="A42" s="35"/>
      <c r="B42" s="118"/>
      <c r="C42" s="126"/>
      <c r="D42" s="36" t="s">
        <v>445</v>
      </c>
      <c r="E42" s="116" t="s">
        <v>16</v>
      </c>
      <c r="F42" s="37" t="s">
        <v>301</v>
      </c>
      <c r="G42" s="20" t="s">
        <v>301</v>
      </c>
      <c r="H42" s="20" t="s">
        <v>301</v>
      </c>
      <c r="I42" s="20" t="s">
        <v>301</v>
      </c>
    </row>
    <row r="43" spans="1:9" hidden="1" x14ac:dyDescent="0.25">
      <c r="A43" s="35"/>
      <c r="B43" s="35"/>
      <c r="C43" s="126"/>
      <c r="D43" s="34" t="s">
        <v>318</v>
      </c>
      <c r="E43" s="118"/>
      <c r="F43" s="119" t="s">
        <v>6</v>
      </c>
      <c r="G43" s="20">
        <v>20882.38</v>
      </c>
      <c r="H43" s="20">
        <v>20008.38</v>
      </c>
      <c r="I43" s="20">
        <v>20008.38</v>
      </c>
    </row>
    <row r="44" spans="1:9" hidden="1" x14ac:dyDescent="0.25">
      <c r="A44" s="35"/>
      <c r="B44" s="35"/>
      <c r="C44" s="126"/>
      <c r="D44" s="34" t="s">
        <v>319</v>
      </c>
      <c r="E44" s="118"/>
      <c r="F44" s="120"/>
      <c r="G44" s="20">
        <v>6314.78</v>
      </c>
      <c r="H44" s="20">
        <v>6056.7</v>
      </c>
      <c r="I44" s="20">
        <v>6056.7</v>
      </c>
    </row>
    <row r="45" spans="1:9" hidden="1" x14ac:dyDescent="0.25">
      <c r="A45" s="35"/>
      <c r="B45" s="35"/>
      <c r="C45" s="126"/>
      <c r="D45" s="34" t="s">
        <v>320</v>
      </c>
      <c r="E45" s="118"/>
      <c r="F45" s="120"/>
      <c r="G45" s="20">
        <v>49.2</v>
      </c>
      <c r="H45" s="20">
        <v>47.31</v>
      </c>
      <c r="I45" s="20">
        <v>47.31</v>
      </c>
    </row>
    <row r="46" spans="1:9" hidden="1" x14ac:dyDescent="0.25">
      <c r="A46" s="35"/>
      <c r="B46" s="35"/>
      <c r="C46" s="126"/>
      <c r="D46" s="34" t="s">
        <v>321</v>
      </c>
      <c r="E46" s="118"/>
      <c r="F46" s="120"/>
      <c r="G46" s="20">
        <v>3978.82</v>
      </c>
      <c r="H46" s="20">
        <v>3820.94</v>
      </c>
      <c r="I46" s="20">
        <v>3820.94</v>
      </c>
    </row>
    <row r="47" spans="1:9" hidden="1" x14ac:dyDescent="0.25">
      <c r="A47" s="35"/>
      <c r="B47" s="35"/>
      <c r="C47" s="127"/>
      <c r="D47" s="22" t="s">
        <v>322</v>
      </c>
      <c r="E47" s="117"/>
      <c r="F47" s="121"/>
      <c r="G47" s="20">
        <v>267.17</v>
      </c>
      <c r="H47" s="20">
        <v>254.95</v>
      </c>
      <c r="I47" s="20">
        <v>254.95</v>
      </c>
    </row>
    <row r="48" spans="1:9" hidden="1" x14ac:dyDescent="0.25">
      <c r="A48" s="116" t="s">
        <v>243</v>
      </c>
      <c r="B48" s="116" t="s">
        <v>297</v>
      </c>
      <c r="C48" s="125" t="s">
        <v>323</v>
      </c>
      <c r="D48" s="116" t="s">
        <v>453</v>
      </c>
      <c r="E48" s="36" t="s">
        <v>226</v>
      </c>
      <c r="F48" s="36" t="s">
        <v>426</v>
      </c>
      <c r="G48" s="19">
        <v>0</v>
      </c>
      <c r="H48" s="19">
        <v>0</v>
      </c>
      <c r="I48" s="19">
        <v>0</v>
      </c>
    </row>
    <row r="49" spans="1:9" hidden="1" x14ac:dyDescent="0.25">
      <c r="A49" s="118"/>
      <c r="B49" s="118"/>
      <c r="C49" s="126"/>
      <c r="D49" s="117"/>
      <c r="E49" s="36" t="s">
        <v>300</v>
      </c>
      <c r="F49" s="36" t="s">
        <v>426</v>
      </c>
      <c r="G49" s="19">
        <v>5294</v>
      </c>
      <c r="H49" s="19">
        <v>4868</v>
      </c>
      <c r="I49" s="19">
        <v>5026</v>
      </c>
    </row>
    <row r="50" spans="1:9" ht="30" hidden="1" x14ac:dyDescent="0.25">
      <c r="A50" s="118"/>
      <c r="B50" s="118"/>
      <c r="C50" s="126"/>
      <c r="D50" s="36" t="s">
        <v>445</v>
      </c>
      <c r="E50" s="116" t="s">
        <v>16</v>
      </c>
      <c r="F50" s="36" t="s">
        <v>301</v>
      </c>
      <c r="G50" s="19" t="s">
        <v>301</v>
      </c>
      <c r="H50" s="19" t="s">
        <v>301</v>
      </c>
      <c r="I50" s="19" t="s">
        <v>301</v>
      </c>
    </row>
    <row r="51" spans="1:9" ht="30" hidden="1" x14ac:dyDescent="0.25">
      <c r="A51" s="117"/>
      <c r="B51" s="117"/>
      <c r="C51" s="127"/>
      <c r="D51" s="36" t="s">
        <v>324</v>
      </c>
      <c r="E51" s="117"/>
      <c r="F51" s="36" t="s">
        <v>68</v>
      </c>
      <c r="G51" s="20">
        <v>37594.9</v>
      </c>
      <c r="H51" s="20">
        <v>40434.9</v>
      </c>
      <c r="I51" s="20">
        <v>46955.74</v>
      </c>
    </row>
    <row r="52" spans="1:9" ht="105" hidden="1" x14ac:dyDescent="0.25">
      <c r="A52" s="116" t="s">
        <v>244</v>
      </c>
      <c r="B52" s="116" t="s">
        <v>297</v>
      </c>
      <c r="C52" s="116" t="s">
        <v>325</v>
      </c>
      <c r="D52" s="36" t="s">
        <v>454</v>
      </c>
      <c r="E52" s="36" t="s">
        <v>326</v>
      </c>
      <c r="F52" s="36" t="s">
        <v>426</v>
      </c>
      <c r="G52" s="19">
        <v>260</v>
      </c>
      <c r="H52" s="19">
        <v>260</v>
      </c>
      <c r="I52" s="19">
        <v>167</v>
      </c>
    </row>
    <row r="53" spans="1:9" ht="30" hidden="1" x14ac:dyDescent="0.25">
      <c r="A53" s="118"/>
      <c r="B53" s="118"/>
      <c r="C53" s="118"/>
      <c r="D53" s="36" t="s">
        <v>445</v>
      </c>
      <c r="E53" s="116" t="s">
        <v>16</v>
      </c>
      <c r="F53" s="36" t="s">
        <v>301</v>
      </c>
      <c r="G53" s="19" t="s">
        <v>301</v>
      </c>
      <c r="H53" s="19" t="s">
        <v>301</v>
      </c>
      <c r="I53" s="19" t="s">
        <v>301</v>
      </c>
    </row>
    <row r="54" spans="1:9" ht="30" hidden="1" x14ac:dyDescent="0.25">
      <c r="A54" s="117"/>
      <c r="B54" s="117"/>
      <c r="C54" s="117"/>
      <c r="D54" s="36" t="s">
        <v>310</v>
      </c>
      <c r="E54" s="117"/>
      <c r="F54" s="36" t="s">
        <v>68</v>
      </c>
      <c r="G54" s="20">
        <f>5950.74</f>
        <v>5950.74</v>
      </c>
      <c r="H54" s="20">
        <v>6412.3</v>
      </c>
      <c r="I54" s="20">
        <f>6541.62</f>
        <v>6541.62</v>
      </c>
    </row>
    <row r="55" spans="1:9" ht="105" hidden="1" x14ac:dyDescent="0.25">
      <c r="A55" s="116" t="s">
        <v>245</v>
      </c>
      <c r="B55" s="116" t="s">
        <v>297</v>
      </c>
      <c r="C55" s="116" t="s">
        <v>327</v>
      </c>
      <c r="D55" s="34" t="s">
        <v>455</v>
      </c>
      <c r="E55" s="34" t="s">
        <v>326</v>
      </c>
      <c r="F55" s="34" t="s">
        <v>426</v>
      </c>
      <c r="G55" s="21">
        <v>3585</v>
      </c>
      <c r="H55" s="21">
        <v>3050</v>
      </c>
      <c r="I55" s="21">
        <v>2703</v>
      </c>
    </row>
    <row r="56" spans="1:9" ht="30" hidden="1" x14ac:dyDescent="0.25">
      <c r="A56" s="118"/>
      <c r="B56" s="118"/>
      <c r="C56" s="118"/>
      <c r="D56" s="34" t="s">
        <v>445</v>
      </c>
      <c r="E56" s="116" t="s">
        <v>16</v>
      </c>
      <c r="F56" s="34" t="s">
        <v>301</v>
      </c>
      <c r="G56" s="21" t="s">
        <v>301</v>
      </c>
      <c r="H56" s="21" t="s">
        <v>301</v>
      </c>
      <c r="I56" s="21" t="s">
        <v>301</v>
      </c>
    </row>
    <row r="57" spans="1:9" hidden="1" x14ac:dyDescent="0.25">
      <c r="A57" s="118"/>
      <c r="B57" s="118"/>
      <c r="C57" s="118"/>
      <c r="D57" s="34" t="s">
        <v>318</v>
      </c>
      <c r="E57" s="118"/>
      <c r="F57" s="116" t="s">
        <v>68</v>
      </c>
      <c r="G57" s="23">
        <v>241656.94</v>
      </c>
      <c r="H57" s="23">
        <v>322317.2</v>
      </c>
      <c r="I57" s="23">
        <v>322317.2</v>
      </c>
    </row>
    <row r="58" spans="1:9" hidden="1" x14ac:dyDescent="0.25">
      <c r="A58" s="118"/>
      <c r="B58" s="118"/>
      <c r="C58" s="118"/>
      <c r="D58" s="34" t="s">
        <v>319</v>
      </c>
      <c r="E58" s="118"/>
      <c r="F58" s="118"/>
      <c r="G58" s="23">
        <v>78276.600000000006</v>
      </c>
      <c r="H58" s="23">
        <v>103357.5</v>
      </c>
      <c r="I58" s="23">
        <v>103357.5</v>
      </c>
    </row>
    <row r="59" spans="1:9" hidden="1" x14ac:dyDescent="0.25">
      <c r="A59" s="118"/>
      <c r="B59" s="118"/>
      <c r="C59" s="118"/>
      <c r="D59" s="34" t="s">
        <v>328</v>
      </c>
      <c r="E59" s="118"/>
      <c r="F59" s="118"/>
      <c r="G59" s="23">
        <v>449.5</v>
      </c>
      <c r="H59" s="23">
        <v>444.3</v>
      </c>
      <c r="I59" s="23">
        <v>444.3</v>
      </c>
    </row>
    <row r="60" spans="1:9" hidden="1" x14ac:dyDescent="0.25">
      <c r="A60" s="118"/>
      <c r="B60" s="118"/>
      <c r="C60" s="118"/>
      <c r="D60" s="34" t="s">
        <v>320</v>
      </c>
      <c r="E60" s="118"/>
      <c r="F60" s="118"/>
      <c r="G60" s="23">
        <v>1663.8</v>
      </c>
      <c r="H60" s="23">
        <v>2238.64</v>
      </c>
      <c r="I60" s="23">
        <v>2235.5300000000002</v>
      </c>
    </row>
    <row r="61" spans="1:9" hidden="1" x14ac:dyDescent="0.25">
      <c r="A61" s="118"/>
      <c r="B61" s="118"/>
      <c r="C61" s="118"/>
      <c r="D61" s="34" t="s">
        <v>321</v>
      </c>
      <c r="E61" s="118"/>
      <c r="F61" s="118"/>
      <c r="G61" s="23">
        <v>148500.76</v>
      </c>
      <c r="H61" s="23">
        <v>161019.53</v>
      </c>
      <c r="I61" s="23">
        <v>160245.72</v>
      </c>
    </row>
    <row r="62" spans="1:9" hidden="1" x14ac:dyDescent="0.25">
      <c r="A62" s="118"/>
      <c r="B62" s="118"/>
      <c r="C62" s="118"/>
      <c r="D62" s="34" t="s">
        <v>322</v>
      </c>
      <c r="E62" s="118"/>
      <c r="F62" s="118"/>
      <c r="G62" s="23">
        <v>12558.53</v>
      </c>
      <c r="H62" s="23">
        <v>6372.98</v>
      </c>
      <c r="I62" s="23">
        <v>6372.98</v>
      </c>
    </row>
    <row r="63" spans="1:9" hidden="1" x14ac:dyDescent="0.25">
      <c r="A63" s="118"/>
      <c r="B63" s="118"/>
      <c r="C63" s="118"/>
      <c r="D63" s="34" t="s">
        <v>329</v>
      </c>
      <c r="E63" s="118"/>
      <c r="F63" s="118"/>
      <c r="G63" s="23">
        <v>0.03</v>
      </c>
      <c r="H63" s="23">
        <v>0.02</v>
      </c>
      <c r="I63" s="23">
        <v>0.02</v>
      </c>
    </row>
    <row r="64" spans="1:9" hidden="1" x14ac:dyDescent="0.25">
      <c r="A64" s="118"/>
      <c r="B64" s="118"/>
      <c r="C64" s="118"/>
      <c r="D64" s="5" t="s">
        <v>330</v>
      </c>
      <c r="E64" s="118"/>
      <c r="F64" s="118"/>
      <c r="G64" s="20">
        <f>3170.76+1522.2+3919</f>
        <v>8611.9599999999991</v>
      </c>
      <c r="H64" s="23">
        <v>8359.57</v>
      </c>
      <c r="I64" s="23">
        <f>2918.25+1638.5+4073.3</f>
        <v>8630.0499999999993</v>
      </c>
    </row>
    <row r="65" spans="1:9" hidden="1" x14ac:dyDescent="0.25">
      <c r="A65" s="118"/>
      <c r="B65" s="118"/>
      <c r="C65" s="118"/>
      <c r="D65" s="5" t="s">
        <v>306</v>
      </c>
      <c r="E65" s="118"/>
      <c r="F65" s="118"/>
      <c r="G65" s="20">
        <f>11393.89</f>
        <v>11393.89</v>
      </c>
      <c r="H65" s="24">
        <v>11144.6</v>
      </c>
      <c r="I65" s="24">
        <f>12315.41</f>
        <v>12315.41</v>
      </c>
    </row>
    <row r="66" spans="1:9" hidden="1" x14ac:dyDescent="0.25">
      <c r="A66" s="117"/>
      <c r="B66" s="117"/>
      <c r="C66" s="117"/>
      <c r="D66" s="5" t="s">
        <v>310</v>
      </c>
      <c r="E66" s="25"/>
      <c r="F66" s="117"/>
      <c r="G66" s="15"/>
      <c r="H66" s="15"/>
      <c r="I66" s="15"/>
    </row>
    <row r="67" spans="1:9" ht="105" hidden="1" x14ac:dyDescent="0.25">
      <c r="A67" s="116" t="s">
        <v>247</v>
      </c>
      <c r="B67" s="116" t="s">
        <v>297</v>
      </c>
      <c r="C67" s="116" t="s">
        <v>331</v>
      </c>
      <c r="D67" s="34" t="s">
        <v>456</v>
      </c>
      <c r="E67" s="34" t="s">
        <v>326</v>
      </c>
      <c r="F67" s="34" t="s">
        <v>426</v>
      </c>
      <c r="G67" s="21">
        <v>860</v>
      </c>
      <c r="H67" s="21">
        <v>618</v>
      </c>
      <c r="I67" s="21">
        <v>598</v>
      </c>
    </row>
    <row r="68" spans="1:9" ht="30" hidden="1" x14ac:dyDescent="0.25">
      <c r="A68" s="118"/>
      <c r="B68" s="118"/>
      <c r="C68" s="118"/>
      <c r="D68" s="34" t="s">
        <v>445</v>
      </c>
      <c r="E68" s="116" t="s">
        <v>16</v>
      </c>
      <c r="F68" s="34" t="s">
        <v>301</v>
      </c>
      <c r="G68" s="21" t="s">
        <v>301</v>
      </c>
      <c r="H68" s="21" t="s">
        <v>301</v>
      </c>
      <c r="I68" s="21" t="s">
        <v>301</v>
      </c>
    </row>
    <row r="69" spans="1:9" ht="30" hidden="1" x14ac:dyDescent="0.25">
      <c r="A69" s="117"/>
      <c r="B69" s="117"/>
      <c r="C69" s="117"/>
      <c r="D69" s="36" t="s">
        <v>315</v>
      </c>
      <c r="E69" s="117"/>
      <c r="F69" s="36" t="s">
        <v>68</v>
      </c>
      <c r="G69" s="20">
        <f>125272.06+99596.64</f>
        <v>224868.7</v>
      </c>
      <c r="H69" s="20">
        <v>232927.89</v>
      </c>
      <c r="I69" s="20">
        <f>141621+106212.41</f>
        <v>247833.41</v>
      </c>
    </row>
    <row r="70" spans="1:9" ht="105" hidden="1" x14ac:dyDescent="0.25">
      <c r="A70" s="116" t="s">
        <v>248</v>
      </c>
      <c r="B70" s="116" t="s">
        <v>297</v>
      </c>
      <c r="C70" s="116" t="s">
        <v>332</v>
      </c>
      <c r="D70" s="36" t="s">
        <v>457</v>
      </c>
      <c r="E70" s="16" t="s">
        <v>326</v>
      </c>
      <c r="F70" s="36" t="s">
        <v>426</v>
      </c>
      <c r="G70" s="19">
        <v>2580</v>
      </c>
      <c r="H70" s="19">
        <v>1706</v>
      </c>
      <c r="I70" s="19">
        <v>1673</v>
      </c>
    </row>
    <row r="71" spans="1:9" ht="30" hidden="1" x14ac:dyDescent="0.25">
      <c r="A71" s="118"/>
      <c r="B71" s="118"/>
      <c r="C71" s="118"/>
      <c r="D71" s="34" t="s">
        <v>445</v>
      </c>
      <c r="E71" s="116" t="s">
        <v>16</v>
      </c>
      <c r="F71" s="34" t="s">
        <v>301</v>
      </c>
      <c r="G71" s="19" t="s">
        <v>301</v>
      </c>
      <c r="H71" s="19" t="s">
        <v>301</v>
      </c>
      <c r="I71" s="19" t="s">
        <v>301</v>
      </c>
    </row>
    <row r="72" spans="1:9" hidden="1" x14ac:dyDescent="0.25">
      <c r="A72" s="118"/>
      <c r="B72" s="118"/>
      <c r="C72" s="118"/>
      <c r="D72" s="36" t="s">
        <v>330</v>
      </c>
      <c r="E72" s="118"/>
      <c r="F72" s="116" t="s">
        <v>68</v>
      </c>
      <c r="G72" s="20">
        <f>4004.65+5134+3587.9</f>
        <v>12726.55</v>
      </c>
      <c r="H72" s="20">
        <v>11773.45</v>
      </c>
      <c r="I72" s="20">
        <f>4336.52+3974.1+3793.4</f>
        <v>12104.02</v>
      </c>
    </row>
    <row r="73" spans="1:9" hidden="1" x14ac:dyDescent="0.25">
      <c r="A73" s="118"/>
      <c r="B73" s="118"/>
      <c r="C73" s="118"/>
      <c r="D73" s="36" t="s">
        <v>304</v>
      </c>
      <c r="E73" s="118"/>
      <c r="F73" s="183"/>
      <c r="G73" s="20">
        <f>62293.47</f>
        <v>62293.47</v>
      </c>
      <c r="H73" s="20">
        <v>61092.27</v>
      </c>
      <c r="I73" s="20">
        <f>66634.84</f>
        <v>66634.84</v>
      </c>
    </row>
    <row r="74" spans="1:9" hidden="1" x14ac:dyDescent="0.25">
      <c r="A74" s="117"/>
      <c r="B74" s="117"/>
      <c r="C74" s="117"/>
      <c r="D74" s="36" t="s">
        <v>306</v>
      </c>
      <c r="E74" s="117"/>
      <c r="F74" s="141"/>
      <c r="G74" s="20">
        <f>9581.23</f>
        <v>9581.23</v>
      </c>
      <c r="H74" s="20">
        <v>9345.59</v>
      </c>
      <c r="I74" s="20">
        <f>10356.14</f>
        <v>10356.14</v>
      </c>
    </row>
    <row r="75" spans="1:9" ht="105" hidden="1" x14ac:dyDescent="0.25">
      <c r="A75" s="116" t="s">
        <v>249</v>
      </c>
      <c r="B75" s="116" t="s">
        <v>297</v>
      </c>
      <c r="C75" s="116" t="s">
        <v>333</v>
      </c>
      <c r="D75" s="36" t="s">
        <v>458</v>
      </c>
      <c r="E75" s="36" t="s">
        <v>334</v>
      </c>
      <c r="F75" s="36" t="s">
        <v>426</v>
      </c>
      <c r="G75" s="19">
        <v>41</v>
      </c>
      <c r="H75" s="19">
        <v>16</v>
      </c>
      <c r="I75" s="19">
        <v>16</v>
      </c>
    </row>
    <row r="76" spans="1:9" ht="30" hidden="1" x14ac:dyDescent="0.25">
      <c r="A76" s="118"/>
      <c r="B76" s="118"/>
      <c r="C76" s="118"/>
      <c r="D76" s="36" t="s">
        <v>445</v>
      </c>
      <c r="E76" s="116" t="s">
        <v>16</v>
      </c>
      <c r="F76" s="36" t="s">
        <v>301</v>
      </c>
      <c r="G76" s="19" t="s">
        <v>301</v>
      </c>
      <c r="H76" s="19" t="s">
        <v>301</v>
      </c>
      <c r="I76" s="19" t="s">
        <v>301</v>
      </c>
    </row>
    <row r="77" spans="1:9" ht="30" hidden="1" x14ac:dyDescent="0.25">
      <c r="A77" s="117"/>
      <c r="B77" s="117"/>
      <c r="C77" s="117"/>
      <c r="D77" s="36" t="s">
        <v>315</v>
      </c>
      <c r="E77" s="117"/>
      <c r="F77" s="36" t="s">
        <v>68</v>
      </c>
      <c r="G77" s="20">
        <f>1556.2</f>
        <v>1556.2</v>
      </c>
      <c r="H77" s="20">
        <v>319.93</v>
      </c>
      <c r="I77" s="20">
        <f>314.3</f>
        <v>314.3</v>
      </c>
    </row>
    <row r="78" spans="1:9" ht="105" hidden="1" x14ac:dyDescent="0.25">
      <c r="A78" s="116" t="s">
        <v>251</v>
      </c>
      <c r="B78" s="116" t="s">
        <v>297</v>
      </c>
      <c r="C78" s="116" t="s">
        <v>335</v>
      </c>
      <c r="D78" s="36" t="s">
        <v>459</v>
      </c>
      <c r="E78" s="36" t="s">
        <v>334</v>
      </c>
      <c r="F78" s="36" t="s">
        <v>426</v>
      </c>
      <c r="G78" s="19">
        <v>30</v>
      </c>
      <c r="H78" s="19">
        <v>30</v>
      </c>
      <c r="I78" s="19">
        <v>19</v>
      </c>
    </row>
    <row r="79" spans="1:9" ht="30" hidden="1" x14ac:dyDescent="0.25">
      <c r="A79" s="118"/>
      <c r="B79" s="118"/>
      <c r="C79" s="118"/>
      <c r="D79" s="36" t="s">
        <v>445</v>
      </c>
      <c r="E79" s="116" t="s">
        <v>16</v>
      </c>
      <c r="F79" s="36" t="s">
        <v>301</v>
      </c>
      <c r="G79" s="19" t="s">
        <v>301</v>
      </c>
      <c r="H79" s="19" t="s">
        <v>301</v>
      </c>
      <c r="I79" s="19" t="s">
        <v>301</v>
      </c>
    </row>
    <row r="80" spans="1:9" ht="30" hidden="1" x14ac:dyDescent="0.25">
      <c r="A80" s="117"/>
      <c r="B80" s="117"/>
      <c r="C80" s="117"/>
      <c r="D80" s="36" t="s">
        <v>310</v>
      </c>
      <c r="E80" s="117"/>
      <c r="F80" s="36" t="s">
        <v>68</v>
      </c>
      <c r="G80" s="20">
        <f>280.94</f>
        <v>280.94</v>
      </c>
      <c r="H80" s="20">
        <v>317.7</v>
      </c>
      <c r="I80" s="20">
        <f>325.12</f>
        <v>325.12</v>
      </c>
    </row>
    <row r="81" spans="1:9" ht="105" hidden="1" x14ac:dyDescent="0.25">
      <c r="A81" s="116" t="s">
        <v>253</v>
      </c>
      <c r="B81" s="116" t="s">
        <v>297</v>
      </c>
      <c r="C81" s="116" t="s">
        <v>336</v>
      </c>
      <c r="D81" s="36" t="s">
        <v>460</v>
      </c>
      <c r="E81" s="34" t="s">
        <v>334</v>
      </c>
      <c r="F81" s="34" t="s">
        <v>426</v>
      </c>
      <c r="G81" s="21">
        <v>1950</v>
      </c>
      <c r="H81" s="21">
        <v>1476</v>
      </c>
      <c r="I81" s="21">
        <v>1349</v>
      </c>
    </row>
    <row r="82" spans="1:9" ht="30" hidden="1" x14ac:dyDescent="0.25">
      <c r="A82" s="118"/>
      <c r="B82" s="118"/>
      <c r="C82" s="118"/>
      <c r="D82" s="36" t="s">
        <v>445</v>
      </c>
      <c r="E82" s="116" t="s">
        <v>16</v>
      </c>
      <c r="F82" s="34" t="s">
        <v>301</v>
      </c>
      <c r="G82" s="21" t="s">
        <v>301</v>
      </c>
      <c r="H82" s="21" t="s">
        <v>301</v>
      </c>
      <c r="I82" s="21" t="s">
        <v>301</v>
      </c>
    </row>
    <row r="83" spans="1:9" hidden="1" x14ac:dyDescent="0.25">
      <c r="A83" s="118"/>
      <c r="B83" s="118"/>
      <c r="C83" s="118"/>
      <c r="D83" s="36" t="s">
        <v>318</v>
      </c>
      <c r="E83" s="118"/>
      <c r="F83" s="116" t="s">
        <v>68</v>
      </c>
      <c r="G83" s="23">
        <v>19183.419999999998</v>
      </c>
      <c r="H83" s="23">
        <v>14920.44</v>
      </c>
      <c r="I83" s="23">
        <v>14920.44</v>
      </c>
    </row>
    <row r="84" spans="1:9" hidden="1" x14ac:dyDescent="0.25">
      <c r="A84" s="118"/>
      <c r="B84" s="118"/>
      <c r="C84" s="118"/>
      <c r="D84" s="36" t="s">
        <v>319</v>
      </c>
      <c r="E84" s="118"/>
      <c r="F84" s="118"/>
      <c r="G84" s="23">
        <v>5793.39</v>
      </c>
      <c r="H84" s="23">
        <v>4505.97</v>
      </c>
      <c r="I84" s="23">
        <v>4505.97</v>
      </c>
    </row>
    <row r="85" spans="1:9" hidden="1" x14ac:dyDescent="0.25">
      <c r="A85" s="118"/>
      <c r="B85" s="118"/>
      <c r="C85" s="118"/>
      <c r="D85" s="36" t="s">
        <v>320</v>
      </c>
      <c r="E85" s="118"/>
      <c r="F85" s="118"/>
      <c r="G85" s="23">
        <v>20</v>
      </c>
      <c r="H85" s="23">
        <v>15.55</v>
      </c>
      <c r="I85" s="23">
        <v>15.55</v>
      </c>
    </row>
    <row r="86" spans="1:9" hidden="1" x14ac:dyDescent="0.25">
      <c r="A86" s="118"/>
      <c r="B86" s="118"/>
      <c r="C86" s="118"/>
      <c r="D86" s="36" t="s">
        <v>321</v>
      </c>
      <c r="E86" s="118"/>
      <c r="F86" s="118"/>
      <c r="G86" s="23">
        <v>8132.14</v>
      </c>
      <c r="H86" s="23">
        <v>6325.44</v>
      </c>
      <c r="I86" s="23">
        <v>6325.44</v>
      </c>
    </row>
    <row r="87" spans="1:9" hidden="1" x14ac:dyDescent="0.25">
      <c r="A87" s="118"/>
      <c r="B87" s="118"/>
      <c r="C87" s="118"/>
      <c r="D87" s="36" t="s">
        <v>322</v>
      </c>
      <c r="E87" s="118"/>
      <c r="F87" s="118"/>
      <c r="G87" s="23">
        <v>506.05</v>
      </c>
      <c r="H87" s="23">
        <v>393.6</v>
      </c>
      <c r="I87" s="23">
        <v>393.6</v>
      </c>
    </row>
    <row r="88" spans="1:9" hidden="1" x14ac:dyDescent="0.25">
      <c r="A88" s="118"/>
      <c r="B88" s="118"/>
      <c r="C88" s="118"/>
      <c r="D88" s="36" t="s">
        <v>306</v>
      </c>
      <c r="E88" s="118"/>
      <c r="F88" s="183"/>
      <c r="G88" s="23">
        <f>1726.42</f>
        <v>1726.42</v>
      </c>
      <c r="H88" s="23">
        <v>1657.61</v>
      </c>
      <c r="I88" s="23">
        <f>1790.14</f>
        <v>1790.14</v>
      </c>
    </row>
    <row r="89" spans="1:9" hidden="1" x14ac:dyDescent="0.25">
      <c r="A89" s="117"/>
      <c r="B89" s="117"/>
      <c r="C89" s="117"/>
      <c r="D89" s="36" t="s">
        <v>330</v>
      </c>
      <c r="E89" s="25"/>
      <c r="F89" s="141"/>
      <c r="G89" s="20"/>
      <c r="H89" s="20"/>
      <c r="I89" s="20"/>
    </row>
    <row r="90" spans="1:9" ht="105" hidden="1" x14ac:dyDescent="0.25">
      <c r="A90" s="116" t="s">
        <v>254</v>
      </c>
      <c r="B90" s="116" t="s">
        <v>297</v>
      </c>
      <c r="C90" s="116" t="s">
        <v>337</v>
      </c>
      <c r="D90" s="36" t="s">
        <v>461</v>
      </c>
      <c r="E90" s="36" t="s">
        <v>334</v>
      </c>
      <c r="F90" s="36" t="s">
        <v>426</v>
      </c>
      <c r="G90" s="19">
        <v>201</v>
      </c>
      <c r="H90" s="19">
        <v>72</v>
      </c>
      <c r="I90" s="19">
        <v>69</v>
      </c>
    </row>
    <row r="91" spans="1:9" ht="30" hidden="1" x14ac:dyDescent="0.25">
      <c r="A91" s="118"/>
      <c r="B91" s="118"/>
      <c r="C91" s="118"/>
      <c r="D91" s="36" t="s">
        <v>445</v>
      </c>
      <c r="E91" s="116" t="s">
        <v>16</v>
      </c>
      <c r="F91" s="36" t="s">
        <v>301</v>
      </c>
      <c r="G91" s="19" t="s">
        <v>301</v>
      </c>
      <c r="H91" s="19" t="s">
        <v>301</v>
      </c>
      <c r="I91" s="19" t="s">
        <v>301</v>
      </c>
    </row>
    <row r="92" spans="1:9" hidden="1" x14ac:dyDescent="0.25">
      <c r="A92" s="118"/>
      <c r="B92" s="118"/>
      <c r="C92" s="118"/>
      <c r="D92" s="36" t="s">
        <v>338</v>
      </c>
      <c r="E92" s="118"/>
      <c r="F92" s="116" t="s">
        <v>68</v>
      </c>
      <c r="G92" s="20"/>
      <c r="H92" s="20"/>
      <c r="I92" s="20"/>
    </row>
    <row r="93" spans="1:9" hidden="1" x14ac:dyDescent="0.25">
      <c r="A93" s="118"/>
      <c r="B93" s="118"/>
      <c r="C93" s="118"/>
      <c r="D93" s="36" t="s">
        <v>304</v>
      </c>
      <c r="E93" s="118"/>
      <c r="F93" s="183"/>
      <c r="G93" s="20">
        <f>1770.01</f>
        <v>1770.01</v>
      </c>
      <c r="H93" s="20">
        <v>1621.77</v>
      </c>
      <c r="I93" s="20">
        <f>1764.21</f>
        <v>1764.21</v>
      </c>
    </row>
    <row r="94" spans="1:9" hidden="1" x14ac:dyDescent="0.25">
      <c r="A94" s="117"/>
      <c r="B94" s="117"/>
      <c r="C94" s="117"/>
      <c r="D94" s="36" t="s">
        <v>306</v>
      </c>
      <c r="E94" s="117"/>
      <c r="F94" s="141"/>
      <c r="G94" s="20">
        <f>402.83</f>
        <v>402.83</v>
      </c>
      <c r="H94" s="20">
        <v>393.75</v>
      </c>
      <c r="I94" s="20">
        <f>565.3</f>
        <v>565.29999999999995</v>
      </c>
    </row>
    <row r="95" spans="1:9" ht="105" hidden="1" x14ac:dyDescent="0.25">
      <c r="A95" s="116" t="s">
        <v>256</v>
      </c>
      <c r="B95" s="116" t="s">
        <v>297</v>
      </c>
      <c r="C95" s="125" t="s">
        <v>339</v>
      </c>
      <c r="D95" s="36" t="s">
        <v>462</v>
      </c>
      <c r="E95" s="36" t="s">
        <v>340</v>
      </c>
      <c r="F95" s="36" t="s">
        <v>80</v>
      </c>
      <c r="G95" s="19">
        <v>4700</v>
      </c>
      <c r="H95" s="19">
        <v>3800</v>
      </c>
      <c r="I95" s="19">
        <v>3969</v>
      </c>
    </row>
    <row r="96" spans="1:9" ht="30" hidden="1" x14ac:dyDescent="0.25">
      <c r="A96" s="118"/>
      <c r="B96" s="118"/>
      <c r="C96" s="126"/>
      <c r="D96" s="36" t="s">
        <v>445</v>
      </c>
      <c r="E96" s="116" t="s">
        <v>16</v>
      </c>
      <c r="F96" s="34" t="s">
        <v>301</v>
      </c>
      <c r="G96" s="19" t="s">
        <v>301</v>
      </c>
      <c r="H96" s="19" t="s">
        <v>301</v>
      </c>
      <c r="I96" s="19" t="s">
        <v>301</v>
      </c>
    </row>
    <row r="97" spans="1:9" ht="30" hidden="1" x14ac:dyDescent="0.25">
      <c r="A97" s="118"/>
      <c r="B97" s="118"/>
      <c r="C97" s="126"/>
      <c r="D97" s="36" t="s">
        <v>341</v>
      </c>
      <c r="E97" s="118"/>
      <c r="F97" s="34" t="s">
        <v>68</v>
      </c>
      <c r="G97" s="20">
        <f>13603.3</f>
        <v>13603.3</v>
      </c>
      <c r="H97" s="20">
        <v>13668.4</v>
      </c>
      <c r="I97" s="20">
        <f>14922.87</f>
        <v>14922.87</v>
      </c>
    </row>
    <row r="98" spans="1:9" ht="30" hidden="1" x14ac:dyDescent="0.25">
      <c r="A98" s="116" t="s">
        <v>258</v>
      </c>
      <c r="B98" s="116" t="s">
        <v>297</v>
      </c>
      <c r="C98" s="125" t="s">
        <v>342</v>
      </c>
      <c r="D98" s="116" t="s">
        <v>463</v>
      </c>
      <c r="E98" s="34" t="s">
        <v>343</v>
      </c>
      <c r="F98" s="34" t="s">
        <v>85</v>
      </c>
      <c r="G98" s="21">
        <v>1125</v>
      </c>
      <c r="H98" s="21">
        <v>995</v>
      </c>
      <c r="I98" s="21">
        <v>1032</v>
      </c>
    </row>
    <row r="99" spans="1:9" ht="30" hidden="1" x14ac:dyDescent="0.25">
      <c r="A99" s="118"/>
      <c r="B99" s="118"/>
      <c r="C99" s="126"/>
      <c r="D99" s="117"/>
      <c r="E99" s="34" t="s">
        <v>344</v>
      </c>
      <c r="F99" s="34" t="s">
        <v>85</v>
      </c>
      <c r="G99" s="21">
        <v>1600</v>
      </c>
      <c r="H99" s="21">
        <v>1600</v>
      </c>
      <c r="I99" s="21">
        <v>1600</v>
      </c>
    </row>
    <row r="100" spans="1:9" ht="30" hidden="1" x14ac:dyDescent="0.25">
      <c r="A100" s="118"/>
      <c r="B100" s="118"/>
      <c r="C100" s="126"/>
      <c r="D100" s="34" t="s">
        <v>445</v>
      </c>
      <c r="E100" s="116" t="s">
        <v>16</v>
      </c>
      <c r="F100" s="36" t="s">
        <v>301</v>
      </c>
      <c r="G100" s="19" t="s">
        <v>301</v>
      </c>
      <c r="H100" s="21" t="s">
        <v>301</v>
      </c>
      <c r="I100" s="21" t="s">
        <v>301</v>
      </c>
    </row>
    <row r="101" spans="1:9" hidden="1" x14ac:dyDescent="0.25">
      <c r="A101" s="118"/>
      <c r="B101" s="118"/>
      <c r="C101" s="126"/>
      <c r="D101" s="34" t="s">
        <v>345</v>
      </c>
      <c r="E101" s="118"/>
      <c r="F101" s="116" t="s">
        <v>68</v>
      </c>
      <c r="G101" s="20">
        <v>41786.9</v>
      </c>
      <c r="H101" s="23">
        <v>46666.7</v>
      </c>
      <c r="I101" s="23">
        <v>46666.7</v>
      </c>
    </row>
    <row r="102" spans="1:9" hidden="1" x14ac:dyDescent="0.25">
      <c r="A102" s="118"/>
      <c r="B102" s="118"/>
      <c r="C102" s="126"/>
      <c r="D102" s="34" t="s">
        <v>346</v>
      </c>
      <c r="E102" s="118"/>
      <c r="F102" s="118"/>
      <c r="G102" s="20">
        <v>12619.7</v>
      </c>
      <c r="H102" s="23">
        <v>14473.9</v>
      </c>
      <c r="I102" s="23">
        <v>14064.8</v>
      </c>
    </row>
    <row r="103" spans="1:9" hidden="1" x14ac:dyDescent="0.25">
      <c r="A103" s="118"/>
      <c r="B103" s="118"/>
      <c r="C103" s="126"/>
      <c r="D103" s="34" t="s">
        <v>347</v>
      </c>
      <c r="E103" s="118"/>
      <c r="F103" s="118"/>
      <c r="G103" s="20">
        <v>500</v>
      </c>
      <c r="H103" s="23">
        <v>115</v>
      </c>
      <c r="I103" s="23">
        <v>75.099999999999994</v>
      </c>
    </row>
    <row r="104" spans="1:9" hidden="1" x14ac:dyDescent="0.25">
      <c r="A104" s="118"/>
      <c r="B104" s="118"/>
      <c r="C104" s="126"/>
      <c r="D104" s="34" t="s">
        <v>348</v>
      </c>
      <c r="E104" s="118"/>
      <c r="F104" s="118"/>
      <c r="G104" s="20">
        <v>1816.2</v>
      </c>
      <c r="H104" s="23">
        <v>1721.4</v>
      </c>
      <c r="I104" s="23">
        <v>1721.4</v>
      </c>
    </row>
    <row r="105" spans="1:9" hidden="1" x14ac:dyDescent="0.25">
      <c r="A105" s="118"/>
      <c r="B105" s="118"/>
      <c r="C105" s="126"/>
      <c r="D105" s="34" t="s">
        <v>349</v>
      </c>
      <c r="E105" s="118"/>
      <c r="F105" s="118"/>
      <c r="G105" s="20">
        <v>62800.6</v>
      </c>
      <c r="H105" s="23">
        <v>47030.38</v>
      </c>
      <c r="I105" s="23">
        <v>43186.5</v>
      </c>
    </row>
    <row r="106" spans="1:9" hidden="1" x14ac:dyDescent="0.25">
      <c r="A106" s="118"/>
      <c r="B106" s="118"/>
      <c r="C106" s="126"/>
      <c r="D106" s="34" t="s">
        <v>350</v>
      </c>
      <c r="E106" s="118"/>
      <c r="F106" s="118"/>
      <c r="G106" s="20">
        <v>360</v>
      </c>
      <c r="H106" s="23">
        <v>0</v>
      </c>
      <c r="I106" s="23">
        <v>0</v>
      </c>
    </row>
    <row r="107" spans="1:9" hidden="1" x14ac:dyDescent="0.25">
      <c r="A107" s="118"/>
      <c r="B107" s="118"/>
      <c r="C107" s="126"/>
      <c r="D107" s="34" t="s">
        <v>351</v>
      </c>
      <c r="E107" s="118"/>
      <c r="F107" s="118"/>
      <c r="G107" s="20">
        <v>85</v>
      </c>
      <c r="H107" s="23">
        <v>29.7</v>
      </c>
      <c r="I107" s="23">
        <v>29.7</v>
      </c>
    </row>
    <row r="108" spans="1:9" hidden="1" x14ac:dyDescent="0.25">
      <c r="A108" s="118"/>
      <c r="B108" s="118"/>
      <c r="C108" s="126"/>
      <c r="D108" s="34" t="s">
        <v>352</v>
      </c>
      <c r="E108" s="118"/>
      <c r="F108" s="118"/>
      <c r="G108" s="20">
        <v>0</v>
      </c>
      <c r="H108" s="23">
        <v>158.69999999999999</v>
      </c>
      <c r="I108" s="23">
        <v>158.69999999999999</v>
      </c>
    </row>
    <row r="109" spans="1:9" hidden="1" x14ac:dyDescent="0.25">
      <c r="A109" s="118"/>
      <c r="B109" s="118"/>
      <c r="C109" s="126"/>
      <c r="D109" s="34" t="s">
        <v>353</v>
      </c>
      <c r="E109" s="118"/>
      <c r="F109" s="118"/>
      <c r="G109" s="20">
        <v>254000</v>
      </c>
      <c r="H109" s="23">
        <v>254000</v>
      </c>
      <c r="I109" s="23">
        <v>254000</v>
      </c>
    </row>
    <row r="110" spans="1:9" hidden="1" x14ac:dyDescent="0.25">
      <c r="A110" s="118"/>
      <c r="B110" s="118"/>
      <c r="C110" s="126"/>
      <c r="D110" s="34" t="s">
        <v>354</v>
      </c>
      <c r="E110" s="118"/>
      <c r="F110" s="118"/>
      <c r="G110" s="20">
        <v>2983.9</v>
      </c>
      <c r="H110" s="23">
        <v>11257.82</v>
      </c>
      <c r="I110" s="23">
        <v>11257.9</v>
      </c>
    </row>
    <row r="111" spans="1:9" hidden="1" x14ac:dyDescent="0.25">
      <c r="A111" s="118"/>
      <c r="B111" s="118"/>
      <c r="C111" s="126"/>
      <c r="D111" s="34" t="s">
        <v>355</v>
      </c>
      <c r="E111" s="118"/>
      <c r="F111" s="118"/>
      <c r="G111" s="20">
        <v>30.1</v>
      </c>
      <c r="H111" s="23">
        <v>30.1</v>
      </c>
      <c r="I111" s="23">
        <v>30.1</v>
      </c>
    </row>
    <row r="112" spans="1:9" hidden="1" x14ac:dyDescent="0.25">
      <c r="A112" s="118"/>
      <c r="B112" s="118"/>
      <c r="C112" s="126"/>
      <c r="D112" s="34" t="s">
        <v>356</v>
      </c>
      <c r="E112" s="118"/>
      <c r="F112" s="118"/>
      <c r="G112" s="20">
        <v>0</v>
      </c>
      <c r="H112" s="23">
        <v>6187.5</v>
      </c>
      <c r="I112" s="23">
        <v>6187.5</v>
      </c>
    </row>
    <row r="113" spans="1:9" hidden="1" x14ac:dyDescent="0.25">
      <c r="A113" s="118"/>
      <c r="B113" s="118"/>
      <c r="C113" s="126"/>
      <c r="D113" s="34" t="s">
        <v>357</v>
      </c>
      <c r="E113" s="118"/>
      <c r="F113" s="118"/>
      <c r="G113" s="20">
        <v>0</v>
      </c>
      <c r="H113" s="23">
        <v>925</v>
      </c>
      <c r="I113" s="23">
        <v>925</v>
      </c>
    </row>
    <row r="114" spans="1:9" hidden="1" x14ac:dyDescent="0.25">
      <c r="A114" s="118"/>
      <c r="B114" s="118"/>
      <c r="C114" s="126"/>
      <c r="D114" s="34" t="s">
        <v>358</v>
      </c>
      <c r="E114" s="118"/>
      <c r="F114" s="118"/>
      <c r="G114" s="20">
        <v>0</v>
      </c>
      <c r="H114" s="23">
        <v>568</v>
      </c>
      <c r="I114" s="23">
        <v>568</v>
      </c>
    </row>
    <row r="115" spans="1:9" hidden="1" x14ac:dyDescent="0.25">
      <c r="A115" s="118"/>
      <c r="B115" s="118"/>
      <c r="C115" s="126"/>
      <c r="D115" s="34" t="s">
        <v>359</v>
      </c>
      <c r="E115" s="118"/>
      <c r="F115" s="118"/>
      <c r="G115" s="20">
        <v>0</v>
      </c>
      <c r="H115" s="23">
        <v>1868.6</v>
      </c>
      <c r="I115" s="23">
        <v>1868.6</v>
      </c>
    </row>
    <row r="116" spans="1:9" hidden="1" x14ac:dyDescent="0.25">
      <c r="A116" s="118"/>
      <c r="B116" s="118"/>
      <c r="C116" s="126"/>
      <c r="D116" s="34" t="s">
        <v>360</v>
      </c>
      <c r="E116" s="118"/>
      <c r="F116" s="118"/>
      <c r="G116" s="20">
        <v>0</v>
      </c>
      <c r="H116" s="23">
        <v>279.33</v>
      </c>
      <c r="I116" s="23">
        <v>279.3</v>
      </c>
    </row>
    <row r="117" spans="1:9" hidden="1" x14ac:dyDescent="0.25">
      <c r="A117" s="118"/>
      <c r="B117" s="118"/>
      <c r="C117" s="126"/>
      <c r="D117" s="34" t="s">
        <v>361</v>
      </c>
      <c r="E117" s="118"/>
      <c r="F117" s="118"/>
      <c r="G117" s="20">
        <v>0</v>
      </c>
      <c r="H117" s="23">
        <v>171.2</v>
      </c>
      <c r="I117" s="23">
        <v>171.2</v>
      </c>
    </row>
    <row r="118" spans="1:9" hidden="1" x14ac:dyDescent="0.25">
      <c r="A118" s="118"/>
      <c r="B118" s="118"/>
      <c r="C118" s="126"/>
      <c r="D118" s="34" t="s">
        <v>362</v>
      </c>
      <c r="E118" s="118"/>
      <c r="F118" s="118"/>
      <c r="G118" s="20">
        <v>0</v>
      </c>
      <c r="H118" s="23">
        <v>997.2</v>
      </c>
      <c r="I118" s="23">
        <v>996.6</v>
      </c>
    </row>
    <row r="119" spans="1:9" hidden="1" x14ac:dyDescent="0.25">
      <c r="A119" s="118"/>
      <c r="B119" s="118"/>
      <c r="C119" s="126"/>
      <c r="D119" s="34" t="s">
        <v>363</v>
      </c>
      <c r="E119" s="118"/>
      <c r="F119" s="118"/>
      <c r="G119" s="20">
        <v>0</v>
      </c>
      <c r="H119" s="23">
        <v>92.3</v>
      </c>
      <c r="I119" s="23">
        <v>52.6</v>
      </c>
    </row>
    <row r="120" spans="1:9" hidden="1" x14ac:dyDescent="0.25">
      <c r="A120" s="118"/>
      <c r="B120" s="118"/>
      <c r="C120" s="126"/>
      <c r="D120" s="34" t="s">
        <v>364</v>
      </c>
      <c r="E120" s="118"/>
      <c r="F120" s="118"/>
      <c r="G120" s="20">
        <v>0</v>
      </c>
      <c r="H120" s="23">
        <v>27.9</v>
      </c>
      <c r="I120" s="23">
        <v>15.9</v>
      </c>
    </row>
    <row r="121" spans="1:9" hidden="1" x14ac:dyDescent="0.25">
      <c r="A121" s="118"/>
      <c r="B121" s="118"/>
      <c r="C121" s="126"/>
      <c r="D121" s="34" t="s">
        <v>365</v>
      </c>
      <c r="E121" s="118"/>
      <c r="F121" s="118"/>
      <c r="G121" s="20">
        <v>0</v>
      </c>
      <c r="H121" s="23">
        <v>825</v>
      </c>
      <c r="I121" s="23">
        <v>825</v>
      </c>
    </row>
    <row r="122" spans="1:9" hidden="1" x14ac:dyDescent="0.25">
      <c r="A122" s="118"/>
      <c r="B122" s="118"/>
      <c r="C122" s="126"/>
      <c r="D122" s="34" t="s">
        <v>366</v>
      </c>
      <c r="E122" s="118"/>
      <c r="F122" s="118"/>
      <c r="G122" s="20">
        <v>0</v>
      </c>
      <c r="H122" s="23">
        <v>249.2</v>
      </c>
      <c r="I122" s="23">
        <v>249.2</v>
      </c>
    </row>
    <row r="123" spans="1:9" hidden="1" x14ac:dyDescent="0.25">
      <c r="A123" s="118"/>
      <c r="B123" s="118"/>
      <c r="C123" s="126"/>
      <c r="D123" s="5" t="s">
        <v>367</v>
      </c>
      <c r="E123" s="118"/>
      <c r="F123" s="118"/>
      <c r="G123" s="20">
        <f>19925.1</f>
        <v>19925.099999999999</v>
      </c>
      <c r="H123" s="26">
        <v>23996.7</v>
      </c>
      <c r="I123" s="26">
        <f>35054</f>
        <v>35054</v>
      </c>
    </row>
    <row r="124" spans="1:9" hidden="1" x14ac:dyDescent="0.25">
      <c r="A124" s="117"/>
      <c r="B124" s="117"/>
      <c r="C124" s="127"/>
      <c r="D124" s="5" t="s">
        <v>368</v>
      </c>
      <c r="E124" s="117"/>
      <c r="F124" s="117"/>
      <c r="G124" s="27">
        <f>6187.9</f>
        <v>6187.9</v>
      </c>
      <c r="H124" s="20">
        <f>3646.21</f>
        <v>3646.21</v>
      </c>
      <c r="I124" s="20">
        <f>3646.21</f>
        <v>3646.21</v>
      </c>
    </row>
    <row r="125" spans="1:9" ht="105" hidden="1" x14ac:dyDescent="0.25">
      <c r="A125" s="116" t="s">
        <v>259</v>
      </c>
      <c r="B125" s="116" t="s">
        <v>297</v>
      </c>
      <c r="C125" s="116" t="s">
        <v>369</v>
      </c>
      <c r="D125" s="36" t="s">
        <v>464</v>
      </c>
      <c r="E125" s="36" t="s">
        <v>370</v>
      </c>
      <c r="F125" s="36" t="s">
        <v>426</v>
      </c>
      <c r="G125" s="19">
        <v>23200</v>
      </c>
      <c r="H125" s="19">
        <v>17718</v>
      </c>
      <c r="I125" s="19">
        <v>16289</v>
      </c>
    </row>
    <row r="126" spans="1:9" ht="30" hidden="1" x14ac:dyDescent="0.25">
      <c r="A126" s="118"/>
      <c r="B126" s="118"/>
      <c r="C126" s="118"/>
      <c r="D126" s="36" t="s">
        <v>445</v>
      </c>
      <c r="E126" s="116" t="s">
        <v>16</v>
      </c>
      <c r="F126" s="36" t="s">
        <v>301</v>
      </c>
      <c r="G126" s="19" t="s">
        <v>301</v>
      </c>
      <c r="H126" s="19" t="s">
        <v>301</v>
      </c>
      <c r="I126" s="19" t="s">
        <v>301</v>
      </c>
    </row>
    <row r="127" spans="1:9" hidden="1" x14ac:dyDescent="0.25">
      <c r="A127" s="118"/>
      <c r="B127" s="118"/>
      <c r="C127" s="118"/>
      <c r="D127" s="36" t="s">
        <v>310</v>
      </c>
      <c r="E127" s="118"/>
      <c r="F127" s="116" t="s">
        <v>68</v>
      </c>
      <c r="G127" s="20"/>
      <c r="H127" s="20"/>
      <c r="I127" s="20"/>
    </row>
    <row r="128" spans="1:9" hidden="1" x14ac:dyDescent="0.25">
      <c r="A128" s="118"/>
      <c r="B128" s="118"/>
      <c r="C128" s="118"/>
      <c r="D128" s="36" t="s">
        <v>371</v>
      </c>
      <c r="E128" s="118"/>
      <c r="F128" s="183"/>
      <c r="G128" s="20"/>
      <c r="H128" s="20"/>
      <c r="I128" s="20"/>
    </row>
    <row r="129" spans="1:9" hidden="1" x14ac:dyDescent="0.25">
      <c r="A129" s="117"/>
      <c r="B129" s="117"/>
      <c r="C129" s="117"/>
      <c r="D129" s="36" t="s">
        <v>372</v>
      </c>
      <c r="E129" s="117"/>
      <c r="F129" s="141"/>
      <c r="G129" s="20">
        <f>19599.27+1808.2+13894.43</f>
        <v>35301.9</v>
      </c>
      <c r="H129" s="20">
        <v>37711.4</v>
      </c>
      <c r="I129" s="20">
        <f>19488.78+2223.1+16870.92</f>
        <v>38582.799999999996</v>
      </c>
    </row>
    <row r="130" spans="1:9" ht="105" hidden="1" x14ac:dyDescent="0.25">
      <c r="A130" s="116" t="s">
        <v>261</v>
      </c>
      <c r="B130" s="116" t="s">
        <v>297</v>
      </c>
      <c r="C130" s="116" t="s">
        <v>373</v>
      </c>
      <c r="D130" s="36" t="s">
        <v>465</v>
      </c>
      <c r="E130" s="36" t="s">
        <v>53</v>
      </c>
      <c r="F130" s="36" t="s">
        <v>426</v>
      </c>
      <c r="G130" s="19">
        <v>329868</v>
      </c>
      <c r="H130" s="19">
        <v>430293</v>
      </c>
      <c r="I130" s="19">
        <v>430293</v>
      </c>
    </row>
    <row r="131" spans="1:9" ht="30" hidden="1" x14ac:dyDescent="0.25">
      <c r="A131" s="118"/>
      <c r="B131" s="118"/>
      <c r="C131" s="118"/>
      <c r="D131" s="36" t="s">
        <v>445</v>
      </c>
      <c r="E131" s="116" t="s">
        <v>16</v>
      </c>
      <c r="F131" s="36" t="s">
        <v>301</v>
      </c>
      <c r="G131" s="19" t="s">
        <v>301</v>
      </c>
      <c r="H131" s="19" t="s">
        <v>301</v>
      </c>
      <c r="I131" s="19" t="s">
        <v>301</v>
      </c>
    </row>
    <row r="132" spans="1:9" ht="30" hidden="1" x14ac:dyDescent="0.25">
      <c r="A132" s="117"/>
      <c r="B132" s="117"/>
      <c r="C132" s="117"/>
      <c r="D132" s="36" t="s">
        <v>374</v>
      </c>
      <c r="E132" s="117"/>
      <c r="F132" s="36" t="s">
        <v>68</v>
      </c>
      <c r="G132" s="20">
        <v>26119.1</v>
      </c>
      <c r="H132" s="20">
        <v>27520</v>
      </c>
      <c r="I132" s="20">
        <v>27200.43</v>
      </c>
    </row>
    <row r="133" spans="1:9" ht="105" hidden="1" x14ac:dyDescent="0.25">
      <c r="A133" s="116" t="s">
        <v>262</v>
      </c>
      <c r="B133" s="116" t="s">
        <v>297</v>
      </c>
      <c r="C133" s="125" t="s">
        <v>375</v>
      </c>
      <c r="D133" s="36" t="s">
        <v>466</v>
      </c>
      <c r="E133" s="36" t="s">
        <v>224</v>
      </c>
      <c r="F133" s="36" t="s">
        <v>426</v>
      </c>
      <c r="G133" s="19">
        <v>24</v>
      </c>
      <c r="H133" s="19">
        <v>11</v>
      </c>
      <c r="I133" s="19">
        <v>11</v>
      </c>
    </row>
    <row r="134" spans="1:9" ht="30" hidden="1" x14ac:dyDescent="0.25">
      <c r="A134" s="118"/>
      <c r="B134" s="118"/>
      <c r="C134" s="126"/>
      <c r="D134" s="36" t="s">
        <v>447</v>
      </c>
      <c r="E134" s="116" t="s">
        <v>16</v>
      </c>
      <c r="F134" s="36" t="s">
        <v>301</v>
      </c>
      <c r="G134" s="19" t="s">
        <v>301</v>
      </c>
      <c r="H134" s="19" t="s">
        <v>301</v>
      </c>
      <c r="I134" s="19" t="s">
        <v>301</v>
      </c>
    </row>
    <row r="135" spans="1:9" ht="30" hidden="1" x14ac:dyDescent="0.25">
      <c r="A135" s="117"/>
      <c r="B135" s="117"/>
      <c r="C135" s="127"/>
      <c r="D135" s="36" t="s">
        <v>374</v>
      </c>
      <c r="E135" s="117"/>
      <c r="F135" s="36" t="s">
        <v>68</v>
      </c>
      <c r="G135" s="20">
        <v>1482.97</v>
      </c>
      <c r="H135" s="20">
        <v>1549</v>
      </c>
      <c r="I135" s="20">
        <v>1548.96</v>
      </c>
    </row>
    <row r="136" spans="1:9" ht="105" hidden="1" x14ac:dyDescent="0.25">
      <c r="A136" s="116" t="s">
        <v>263</v>
      </c>
      <c r="B136" s="116" t="s">
        <v>297</v>
      </c>
      <c r="C136" s="125" t="s">
        <v>376</v>
      </c>
      <c r="D136" s="36" t="s">
        <v>467</v>
      </c>
      <c r="E136" s="36" t="s">
        <v>224</v>
      </c>
      <c r="F136" s="36" t="s">
        <v>426</v>
      </c>
      <c r="G136" s="19">
        <v>75</v>
      </c>
      <c r="H136" s="19">
        <v>69</v>
      </c>
      <c r="I136" s="19">
        <v>69</v>
      </c>
    </row>
    <row r="137" spans="1:9" ht="30" hidden="1" x14ac:dyDescent="0.25">
      <c r="A137" s="118"/>
      <c r="B137" s="118"/>
      <c r="C137" s="126"/>
      <c r="D137" s="36" t="s">
        <v>445</v>
      </c>
      <c r="E137" s="116" t="s">
        <v>16</v>
      </c>
      <c r="F137" s="36" t="s">
        <v>301</v>
      </c>
      <c r="G137" s="19" t="s">
        <v>301</v>
      </c>
      <c r="H137" s="19" t="s">
        <v>301</v>
      </c>
      <c r="I137" s="19" t="s">
        <v>301</v>
      </c>
    </row>
    <row r="138" spans="1:9" ht="30" hidden="1" x14ac:dyDescent="0.25">
      <c r="A138" s="117"/>
      <c r="B138" s="117"/>
      <c r="C138" s="127"/>
      <c r="D138" s="36" t="s">
        <v>374</v>
      </c>
      <c r="E138" s="117"/>
      <c r="F138" s="36" t="s">
        <v>68</v>
      </c>
      <c r="G138" s="20">
        <f>2702.3+14502.65</f>
        <v>17204.95</v>
      </c>
      <c r="H138" s="20">
        <f>1489.9+15191.5</f>
        <v>16681.400000000001</v>
      </c>
      <c r="I138" s="20">
        <f>1589.9+15151.64</f>
        <v>16741.54</v>
      </c>
    </row>
    <row r="139" spans="1:9" ht="105" hidden="1" x14ac:dyDescent="0.25">
      <c r="A139" s="116" t="s">
        <v>264</v>
      </c>
      <c r="B139" s="116" t="s">
        <v>297</v>
      </c>
      <c r="C139" s="116" t="s">
        <v>377</v>
      </c>
      <c r="D139" s="36" t="s">
        <v>468</v>
      </c>
      <c r="E139" s="36" t="s">
        <v>224</v>
      </c>
      <c r="F139" s="36" t="s">
        <v>299</v>
      </c>
      <c r="G139" s="19">
        <v>36</v>
      </c>
      <c r="H139" s="19">
        <v>25</v>
      </c>
      <c r="I139" s="19">
        <v>25</v>
      </c>
    </row>
    <row r="140" spans="1:9" ht="30" hidden="1" x14ac:dyDescent="0.25">
      <c r="A140" s="118"/>
      <c r="B140" s="118"/>
      <c r="C140" s="118"/>
      <c r="D140" s="36" t="s">
        <v>445</v>
      </c>
      <c r="E140" s="116" t="s">
        <v>16</v>
      </c>
      <c r="F140" s="36" t="s">
        <v>301</v>
      </c>
      <c r="G140" s="19" t="s">
        <v>301</v>
      </c>
      <c r="H140" s="19" t="s">
        <v>301</v>
      </c>
      <c r="I140" s="19" t="s">
        <v>301</v>
      </c>
    </row>
    <row r="141" spans="1:9" ht="30" hidden="1" x14ac:dyDescent="0.25">
      <c r="A141" s="117"/>
      <c r="B141" s="117"/>
      <c r="C141" s="117"/>
      <c r="D141" s="36" t="s">
        <v>378</v>
      </c>
      <c r="E141" s="117"/>
      <c r="F141" s="36" t="s">
        <v>68</v>
      </c>
      <c r="G141" s="20">
        <v>4014.08</v>
      </c>
      <c r="H141" s="20">
        <v>4060.1</v>
      </c>
      <c r="I141" s="20">
        <v>4193.58</v>
      </c>
    </row>
    <row r="142" spans="1:9" ht="105" hidden="1" x14ac:dyDescent="0.25">
      <c r="A142" s="116" t="s">
        <v>265</v>
      </c>
      <c r="B142" s="116" t="s">
        <v>297</v>
      </c>
      <c r="C142" s="116" t="s">
        <v>379</v>
      </c>
      <c r="D142" s="36" t="s">
        <v>469</v>
      </c>
      <c r="E142" s="36" t="s">
        <v>224</v>
      </c>
      <c r="F142" s="36" t="s">
        <v>426</v>
      </c>
      <c r="G142" s="19">
        <v>302</v>
      </c>
      <c r="H142" s="19">
        <v>344</v>
      </c>
      <c r="I142" s="19">
        <v>337</v>
      </c>
    </row>
    <row r="143" spans="1:9" ht="30" hidden="1" x14ac:dyDescent="0.25">
      <c r="A143" s="118"/>
      <c r="B143" s="118"/>
      <c r="C143" s="118"/>
      <c r="D143" s="36" t="s">
        <v>445</v>
      </c>
      <c r="E143" s="116" t="s">
        <v>16</v>
      </c>
      <c r="F143" s="36" t="s">
        <v>301</v>
      </c>
      <c r="G143" s="19" t="s">
        <v>301</v>
      </c>
      <c r="H143" s="19" t="s">
        <v>301</v>
      </c>
      <c r="I143" s="19" t="s">
        <v>301</v>
      </c>
    </row>
    <row r="144" spans="1:9" ht="30" hidden="1" x14ac:dyDescent="0.25">
      <c r="A144" s="117"/>
      <c r="B144" s="117"/>
      <c r="C144" s="117"/>
      <c r="D144" s="36" t="s">
        <v>374</v>
      </c>
      <c r="E144" s="117"/>
      <c r="F144" s="36" t="s">
        <v>68</v>
      </c>
      <c r="G144" s="20">
        <f>1217.42+6444.11+21799.85</f>
        <v>29461.379999999997</v>
      </c>
      <c r="H144" s="20">
        <f>1231.87+6616.32+22135.9</f>
        <v>29984.09</v>
      </c>
      <c r="I144" s="20">
        <f>1199.2+6606.62+22775.5</f>
        <v>30581.32</v>
      </c>
    </row>
    <row r="145" spans="1:9" ht="105" hidden="1" x14ac:dyDescent="0.25">
      <c r="A145" s="116" t="s">
        <v>266</v>
      </c>
      <c r="B145" s="116" t="s">
        <v>297</v>
      </c>
      <c r="C145" s="116" t="s">
        <v>380</v>
      </c>
      <c r="D145" s="36" t="s">
        <v>470</v>
      </c>
      <c r="E145" s="16" t="s">
        <v>224</v>
      </c>
      <c r="F145" s="36" t="s">
        <v>426</v>
      </c>
      <c r="G145" s="19">
        <v>16</v>
      </c>
      <c r="H145" s="19">
        <v>38</v>
      </c>
      <c r="I145" s="19">
        <v>38</v>
      </c>
    </row>
    <row r="146" spans="1:9" ht="30" hidden="1" x14ac:dyDescent="0.25">
      <c r="A146" s="118"/>
      <c r="B146" s="118"/>
      <c r="C146" s="118"/>
      <c r="D146" s="36" t="s">
        <v>445</v>
      </c>
      <c r="E146" s="116" t="s">
        <v>16</v>
      </c>
      <c r="F146" s="36" t="s">
        <v>301</v>
      </c>
      <c r="G146" s="19" t="s">
        <v>301</v>
      </c>
      <c r="H146" s="19" t="s">
        <v>301</v>
      </c>
      <c r="I146" s="19" t="s">
        <v>301</v>
      </c>
    </row>
    <row r="147" spans="1:9" ht="30" hidden="1" x14ac:dyDescent="0.25">
      <c r="A147" s="117"/>
      <c r="B147" s="117"/>
      <c r="C147" s="117"/>
      <c r="D147" s="36" t="s">
        <v>374</v>
      </c>
      <c r="E147" s="117"/>
      <c r="F147" s="36" t="s">
        <v>68</v>
      </c>
      <c r="G147" s="20">
        <v>3542.19</v>
      </c>
      <c r="H147" s="20">
        <v>3759.3</v>
      </c>
      <c r="I147" s="20">
        <v>3700.88</v>
      </c>
    </row>
    <row r="148" spans="1:9" ht="105" hidden="1" x14ac:dyDescent="0.25">
      <c r="A148" s="116" t="s">
        <v>267</v>
      </c>
      <c r="B148" s="116" t="s">
        <v>297</v>
      </c>
      <c r="C148" s="116" t="s">
        <v>381</v>
      </c>
      <c r="D148" s="36" t="s">
        <v>471</v>
      </c>
      <c r="E148" s="36" t="s">
        <v>224</v>
      </c>
      <c r="F148" s="36" t="s">
        <v>426</v>
      </c>
      <c r="G148" s="19">
        <v>314</v>
      </c>
      <c r="H148" s="19">
        <v>279</v>
      </c>
      <c r="I148" s="19">
        <v>279</v>
      </c>
    </row>
    <row r="149" spans="1:9" ht="30" hidden="1" x14ac:dyDescent="0.25">
      <c r="A149" s="118"/>
      <c r="B149" s="118"/>
      <c r="C149" s="118"/>
      <c r="D149" s="36" t="s">
        <v>445</v>
      </c>
      <c r="E149" s="116" t="s">
        <v>16</v>
      </c>
      <c r="F149" s="34" t="s">
        <v>301</v>
      </c>
      <c r="G149" s="19" t="s">
        <v>301</v>
      </c>
      <c r="H149" s="19" t="s">
        <v>301</v>
      </c>
      <c r="I149" s="19" t="s">
        <v>301</v>
      </c>
    </row>
    <row r="150" spans="1:9" hidden="1" x14ac:dyDescent="0.25">
      <c r="A150" s="118"/>
      <c r="B150" s="118"/>
      <c r="C150" s="118"/>
      <c r="D150" s="36" t="s">
        <v>374</v>
      </c>
      <c r="E150" s="118"/>
      <c r="F150" s="116" t="s">
        <v>68</v>
      </c>
      <c r="G150" s="4">
        <f>10204.3+27748.51</f>
        <v>37952.81</v>
      </c>
      <c r="H150" s="28">
        <f>10326.5+29035.7</f>
        <v>39362.199999999997</v>
      </c>
      <c r="I150" s="4">
        <f>10051.1+29107.85</f>
        <v>39158.949999999997</v>
      </c>
    </row>
    <row r="151" spans="1:9" x14ac:dyDescent="0.25">
      <c r="A151" s="117"/>
      <c r="B151" s="117"/>
      <c r="C151" s="117"/>
      <c r="D151" s="36" t="s">
        <v>382</v>
      </c>
      <c r="E151" s="117"/>
      <c r="F151" s="141"/>
      <c r="G151" s="4">
        <v>15589.4</v>
      </c>
      <c r="H151" s="4">
        <v>18639</v>
      </c>
      <c r="I151" s="4">
        <v>18569.16</v>
      </c>
    </row>
    <row r="152" spans="1:9" ht="105" hidden="1" x14ac:dyDescent="0.25">
      <c r="A152" s="116" t="s">
        <v>268</v>
      </c>
      <c r="B152" s="116" t="s">
        <v>297</v>
      </c>
      <c r="C152" s="116" t="s">
        <v>383</v>
      </c>
      <c r="D152" s="36" t="s">
        <v>472</v>
      </c>
      <c r="E152" s="36" t="s">
        <v>224</v>
      </c>
      <c r="F152" s="36" t="s">
        <v>426</v>
      </c>
      <c r="G152" s="19">
        <v>268</v>
      </c>
      <c r="H152" s="19">
        <v>367</v>
      </c>
      <c r="I152" s="19">
        <v>362</v>
      </c>
    </row>
    <row r="153" spans="1:9" ht="30" hidden="1" x14ac:dyDescent="0.25">
      <c r="A153" s="118"/>
      <c r="B153" s="118"/>
      <c r="C153" s="118"/>
      <c r="D153" s="36" t="s">
        <v>445</v>
      </c>
      <c r="E153" s="119" t="s">
        <v>188</v>
      </c>
      <c r="F153" s="36" t="s">
        <v>301</v>
      </c>
      <c r="G153" s="19" t="s">
        <v>301</v>
      </c>
      <c r="H153" s="19" t="s">
        <v>301</v>
      </c>
      <c r="I153" s="19" t="s">
        <v>301</v>
      </c>
    </row>
    <row r="154" spans="1:9" ht="30" hidden="1" x14ac:dyDescent="0.25">
      <c r="A154" s="117"/>
      <c r="B154" s="117"/>
      <c r="C154" s="117"/>
      <c r="D154" s="36" t="s">
        <v>374</v>
      </c>
      <c r="E154" s="121"/>
      <c r="F154" s="36" t="s">
        <v>68</v>
      </c>
      <c r="G154" s="20">
        <f>12638.9+11640.9+15268.01</f>
        <v>39547.81</v>
      </c>
      <c r="H154" s="20">
        <f>12790.3+13433+16203.7</f>
        <v>42427</v>
      </c>
      <c r="I154" s="20">
        <f>12449.6+13413.4+15917.7</f>
        <v>41780.699999999997</v>
      </c>
    </row>
    <row r="155" spans="1:9" ht="105" hidden="1" x14ac:dyDescent="0.25">
      <c r="A155" s="116" t="s">
        <v>269</v>
      </c>
      <c r="B155" s="116" t="s">
        <v>297</v>
      </c>
      <c r="C155" s="116" t="s">
        <v>384</v>
      </c>
      <c r="D155" s="36" t="s">
        <v>473</v>
      </c>
      <c r="E155" s="36" t="s">
        <v>385</v>
      </c>
      <c r="F155" s="36" t="s">
        <v>103</v>
      </c>
      <c r="G155" s="19">
        <v>12</v>
      </c>
      <c r="H155" s="19">
        <v>12</v>
      </c>
      <c r="I155" s="19">
        <v>12</v>
      </c>
    </row>
    <row r="156" spans="1:9" ht="30" hidden="1" x14ac:dyDescent="0.25">
      <c r="A156" s="118"/>
      <c r="B156" s="118"/>
      <c r="C156" s="118"/>
      <c r="D156" s="36" t="s">
        <v>445</v>
      </c>
      <c r="E156" s="116" t="s">
        <v>16</v>
      </c>
      <c r="F156" s="36" t="s">
        <v>301</v>
      </c>
      <c r="G156" s="19" t="s">
        <v>301</v>
      </c>
      <c r="H156" s="19" t="s">
        <v>301</v>
      </c>
      <c r="I156" s="19" t="s">
        <v>301</v>
      </c>
    </row>
    <row r="157" spans="1:9" ht="30" hidden="1" x14ac:dyDescent="0.25">
      <c r="A157" s="117"/>
      <c r="B157" s="117"/>
      <c r="C157" s="117"/>
      <c r="D157" s="36" t="s">
        <v>386</v>
      </c>
      <c r="E157" s="117"/>
      <c r="F157" s="36" t="s">
        <v>68</v>
      </c>
      <c r="G157" s="20">
        <v>5248.1</v>
      </c>
      <c r="H157" s="20">
        <v>5912.88</v>
      </c>
      <c r="I157" s="20">
        <v>5924.7</v>
      </c>
    </row>
    <row r="158" spans="1:9" ht="105" hidden="1" x14ac:dyDescent="0.25">
      <c r="A158" s="116" t="s">
        <v>270</v>
      </c>
      <c r="B158" s="116" t="s">
        <v>297</v>
      </c>
      <c r="C158" s="116" t="s">
        <v>387</v>
      </c>
      <c r="D158" s="36" t="s">
        <v>474</v>
      </c>
      <c r="E158" s="36" t="s">
        <v>385</v>
      </c>
      <c r="F158" s="36" t="s">
        <v>103</v>
      </c>
      <c r="G158" s="19">
        <v>4</v>
      </c>
      <c r="H158" s="19">
        <v>4</v>
      </c>
      <c r="I158" s="19">
        <v>4</v>
      </c>
    </row>
    <row r="159" spans="1:9" ht="30" hidden="1" x14ac:dyDescent="0.25">
      <c r="A159" s="118"/>
      <c r="B159" s="118"/>
      <c r="C159" s="118"/>
      <c r="D159" s="36" t="s">
        <v>445</v>
      </c>
      <c r="E159" s="116" t="s">
        <v>16</v>
      </c>
      <c r="F159" s="36" t="s">
        <v>301</v>
      </c>
      <c r="G159" s="19" t="s">
        <v>301</v>
      </c>
      <c r="H159" s="19" t="s">
        <v>301</v>
      </c>
      <c r="I159" s="19" t="s">
        <v>301</v>
      </c>
    </row>
    <row r="160" spans="1:9" ht="30" hidden="1" x14ac:dyDescent="0.25">
      <c r="A160" s="117"/>
      <c r="B160" s="117"/>
      <c r="C160" s="117"/>
      <c r="D160" s="36" t="s">
        <v>386</v>
      </c>
      <c r="E160" s="117"/>
      <c r="F160" s="36" t="s">
        <v>68</v>
      </c>
      <c r="G160" s="20">
        <v>2270.46</v>
      </c>
      <c r="H160" s="20">
        <v>2558.0700000000002</v>
      </c>
      <c r="I160" s="20">
        <v>2563.16</v>
      </c>
    </row>
    <row r="161" spans="1:9" ht="105" hidden="1" x14ac:dyDescent="0.25">
      <c r="A161" s="116" t="s">
        <v>271</v>
      </c>
      <c r="B161" s="116" t="s">
        <v>297</v>
      </c>
      <c r="C161" s="116" t="s">
        <v>388</v>
      </c>
      <c r="D161" s="36" t="s">
        <v>475</v>
      </c>
      <c r="E161" s="36" t="s">
        <v>187</v>
      </c>
      <c r="F161" s="36" t="s">
        <v>85</v>
      </c>
      <c r="G161" s="19">
        <v>3</v>
      </c>
      <c r="H161" s="19">
        <v>3</v>
      </c>
      <c r="I161" s="19">
        <v>3</v>
      </c>
    </row>
    <row r="162" spans="1:9" ht="30" hidden="1" x14ac:dyDescent="0.25">
      <c r="A162" s="118"/>
      <c r="B162" s="118"/>
      <c r="C162" s="118"/>
      <c r="D162" s="36" t="s">
        <v>445</v>
      </c>
      <c r="E162" s="116" t="s">
        <v>16</v>
      </c>
      <c r="F162" s="36" t="s">
        <v>301</v>
      </c>
      <c r="G162" s="19" t="s">
        <v>301</v>
      </c>
      <c r="H162" s="19" t="s">
        <v>301</v>
      </c>
      <c r="I162" s="19" t="s">
        <v>301</v>
      </c>
    </row>
    <row r="163" spans="1:9" ht="30" hidden="1" x14ac:dyDescent="0.25">
      <c r="A163" s="117"/>
      <c r="B163" s="117"/>
      <c r="C163" s="117"/>
      <c r="D163" s="36" t="s">
        <v>386</v>
      </c>
      <c r="E163" s="117"/>
      <c r="F163" s="36" t="s">
        <v>68</v>
      </c>
      <c r="G163" s="20">
        <v>24826.14</v>
      </c>
      <c r="H163" s="29">
        <v>27921.439999999999</v>
      </c>
      <c r="I163" s="20">
        <v>28026.7</v>
      </c>
    </row>
    <row r="164" spans="1:9" ht="105" hidden="1" x14ac:dyDescent="0.25">
      <c r="A164" s="116" t="s">
        <v>272</v>
      </c>
      <c r="B164" s="116" t="s">
        <v>297</v>
      </c>
      <c r="C164" s="116" t="s">
        <v>215</v>
      </c>
      <c r="D164" s="36" t="s">
        <v>476</v>
      </c>
      <c r="E164" s="36" t="s">
        <v>389</v>
      </c>
      <c r="F164" s="36" t="s">
        <v>85</v>
      </c>
      <c r="G164" s="19">
        <v>2</v>
      </c>
      <c r="H164" s="19">
        <v>2</v>
      </c>
      <c r="I164" s="19">
        <v>2</v>
      </c>
    </row>
    <row r="165" spans="1:9" ht="105" hidden="1" x14ac:dyDescent="0.25">
      <c r="A165" s="117"/>
      <c r="B165" s="117"/>
      <c r="C165" s="117"/>
      <c r="D165" s="36" t="s">
        <v>448</v>
      </c>
      <c r="E165" s="36" t="s">
        <v>16</v>
      </c>
      <c r="F165" s="36" t="s">
        <v>68</v>
      </c>
      <c r="G165" s="20">
        <v>4875.8999999999996</v>
      </c>
      <c r="H165" s="20">
        <v>5493.53</v>
      </c>
      <c r="I165" s="20">
        <v>5504.5</v>
      </c>
    </row>
    <row r="166" spans="1:9" ht="30" hidden="1" x14ac:dyDescent="0.25">
      <c r="A166" s="116" t="s">
        <v>273</v>
      </c>
      <c r="B166" s="116" t="s">
        <v>297</v>
      </c>
      <c r="C166" s="116" t="s">
        <v>390</v>
      </c>
      <c r="D166" s="116" t="s">
        <v>477</v>
      </c>
      <c r="E166" s="36" t="s">
        <v>391</v>
      </c>
      <c r="F166" s="36" t="s">
        <v>85</v>
      </c>
      <c r="G166" s="19">
        <v>1</v>
      </c>
      <c r="H166" s="19">
        <v>1</v>
      </c>
      <c r="I166" s="19">
        <v>1</v>
      </c>
    </row>
    <row r="167" spans="1:9" ht="30" hidden="1" x14ac:dyDescent="0.25">
      <c r="A167" s="118"/>
      <c r="B167" s="118"/>
      <c r="C167" s="118"/>
      <c r="D167" s="141"/>
      <c r="E167" s="36" t="s">
        <v>36</v>
      </c>
      <c r="F167" s="36" t="s">
        <v>103</v>
      </c>
      <c r="G167" s="19">
        <v>2215</v>
      </c>
      <c r="H167" s="19">
        <v>2215</v>
      </c>
      <c r="I167" s="19">
        <v>2225</v>
      </c>
    </row>
    <row r="168" spans="1:9" ht="30" hidden="1" x14ac:dyDescent="0.25">
      <c r="A168" s="118"/>
      <c r="B168" s="118"/>
      <c r="C168" s="118"/>
      <c r="D168" s="36" t="s">
        <v>445</v>
      </c>
      <c r="E168" s="116" t="s">
        <v>16</v>
      </c>
      <c r="F168" s="36" t="s">
        <v>301</v>
      </c>
      <c r="G168" s="19" t="s">
        <v>301</v>
      </c>
      <c r="H168" s="19" t="s">
        <v>301</v>
      </c>
      <c r="I168" s="19" t="s">
        <v>301</v>
      </c>
    </row>
    <row r="169" spans="1:9" ht="30" hidden="1" x14ac:dyDescent="0.25">
      <c r="A169" s="117"/>
      <c r="B169" s="117"/>
      <c r="C169" s="117"/>
      <c r="D169" s="36" t="s">
        <v>392</v>
      </c>
      <c r="E169" s="117"/>
      <c r="F169" s="36" t="s">
        <v>68</v>
      </c>
      <c r="G169" s="20">
        <f>6197.3</f>
        <v>6197.3</v>
      </c>
      <c r="H169" s="20">
        <v>6496.3</v>
      </c>
      <c r="I169" s="20">
        <f>6532.8</f>
        <v>6532.8</v>
      </c>
    </row>
    <row r="170" spans="1:9" ht="30" hidden="1" x14ac:dyDescent="0.25">
      <c r="A170" s="116" t="s">
        <v>274</v>
      </c>
      <c r="B170" s="116" t="s">
        <v>297</v>
      </c>
      <c r="C170" s="116" t="s">
        <v>393</v>
      </c>
      <c r="D170" s="116" t="s">
        <v>478</v>
      </c>
      <c r="E170" s="36" t="s">
        <v>228</v>
      </c>
      <c r="F170" s="36" t="s">
        <v>426</v>
      </c>
      <c r="G170" s="19">
        <v>16650</v>
      </c>
      <c r="H170" s="19">
        <v>16650</v>
      </c>
      <c r="I170" s="19">
        <v>16346</v>
      </c>
    </row>
    <row r="171" spans="1:9" ht="30" hidden="1" x14ac:dyDescent="0.25">
      <c r="A171" s="118"/>
      <c r="B171" s="118"/>
      <c r="C171" s="118"/>
      <c r="D171" s="141"/>
      <c r="E171" s="36" t="s">
        <v>394</v>
      </c>
      <c r="F171" s="36" t="s">
        <v>426</v>
      </c>
      <c r="G171" s="19">
        <v>6500</v>
      </c>
      <c r="H171" s="19">
        <v>6500</v>
      </c>
      <c r="I171" s="19">
        <v>7307</v>
      </c>
    </row>
    <row r="172" spans="1:9" ht="30" hidden="1" x14ac:dyDescent="0.25">
      <c r="A172" s="118"/>
      <c r="B172" s="118"/>
      <c r="C172" s="118"/>
      <c r="D172" s="39" t="s">
        <v>445</v>
      </c>
      <c r="E172" s="116" t="s">
        <v>16</v>
      </c>
      <c r="F172" s="36" t="s">
        <v>301</v>
      </c>
      <c r="G172" s="19" t="s">
        <v>301</v>
      </c>
      <c r="H172" s="19" t="s">
        <v>301</v>
      </c>
      <c r="I172" s="19" t="s">
        <v>301</v>
      </c>
    </row>
    <row r="173" spans="1:9" ht="30" hidden="1" x14ac:dyDescent="0.25">
      <c r="A173" s="117"/>
      <c r="B173" s="117"/>
      <c r="C173" s="117"/>
      <c r="D173" s="36" t="s">
        <v>395</v>
      </c>
      <c r="E173" s="117"/>
      <c r="F173" s="36" t="s">
        <v>68</v>
      </c>
      <c r="G173" s="20">
        <f>59650.32+23197.34</f>
        <v>82847.66</v>
      </c>
      <c r="H173" s="20">
        <v>93760.62</v>
      </c>
      <c r="I173" s="20">
        <f>73626.24+28632.42</f>
        <v>102258.66</v>
      </c>
    </row>
    <row r="174" spans="1:9" ht="105" hidden="1" x14ac:dyDescent="0.25">
      <c r="A174" s="116" t="s">
        <v>396</v>
      </c>
      <c r="B174" s="116" t="s">
        <v>297</v>
      </c>
      <c r="C174" s="116" t="s">
        <v>397</v>
      </c>
      <c r="D174" s="36" t="s">
        <v>479</v>
      </c>
      <c r="E174" s="36" t="s">
        <v>398</v>
      </c>
      <c r="F174" s="36" t="s">
        <v>103</v>
      </c>
      <c r="G174" s="19">
        <v>3200</v>
      </c>
      <c r="H174" s="19">
        <v>3200</v>
      </c>
      <c r="I174" s="19">
        <v>3250</v>
      </c>
    </row>
    <row r="175" spans="1:9" ht="30" hidden="1" x14ac:dyDescent="0.25">
      <c r="A175" s="118"/>
      <c r="B175" s="118"/>
      <c r="C175" s="118"/>
      <c r="D175" s="36" t="s">
        <v>445</v>
      </c>
      <c r="E175" s="116" t="s">
        <v>16</v>
      </c>
      <c r="F175" s="36" t="s">
        <v>301</v>
      </c>
      <c r="G175" s="19" t="s">
        <v>301</v>
      </c>
      <c r="H175" s="19" t="s">
        <v>301</v>
      </c>
      <c r="I175" s="19" t="s">
        <v>301</v>
      </c>
    </row>
    <row r="176" spans="1:9" hidden="1" x14ac:dyDescent="0.25">
      <c r="A176" s="118"/>
      <c r="B176" s="118"/>
      <c r="C176" s="118"/>
      <c r="D176" s="36" t="s">
        <v>399</v>
      </c>
      <c r="E176" s="118"/>
      <c r="F176" s="116" t="s">
        <v>68</v>
      </c>
      <c r="G176" s="20"/>
      <c r="H176" s="20"/>
      <c r="I176" s="20"/>
    </row>
    <row r="177" spans="1:9" hidden="1" x14ac:dyDescent="0.25">
      <c r="A177" s="117"/>
      <c r="B177" s="117"/>
      <c r="C177" s="117"/>
      <c r="D177" s="36" t="s">
        <v>304</v>
      </c>
      <c r="E177" s="117"/>
      <c r="F177" s="141"/>
      <c r="G177" s="20">
        <f>6456.39</f>
        <v>6456.39</v>
      </c>
      <c r="H177" s="20">
        <v>6285.43</v>
      </c>
      <c r="I177" s="20">
        <f>6882</f>
        <v>6882</v>
      </c>
    </row>
    <row r="178" spans="1:9" ht="105" hidden="1" x14ac:dyDescent="0.25">
      <c r="A178" s="116" t="s">
        <v>400</v>
      </c>
      <c r="B178" s="116" t="s">
        <v>297</v>
      </c>
      <c r="C178" s="116" t="s">
        <v>401</v>
      </c>
      <c r="D178" s="34" t="s">
        <v>480</v>
      </c>
      <c r="E178" s="30" t="s">
        <v>370</v>
      </c>
      <c r="F178" s="39" t="s">
        <v>426</v>
      </c>
      <c r="G178" s="19">
        <v>33000</v>
      </c>
      <c r="H178" s="19">
        <v>25998</v>
      </c>
      <c r="I178" s="19">
        <v>24796</v>
      </c>
    </row>
    <row r="179" spans="1:9" ht="30" hidden="1" x14ac:dyDescent="0.25">
      <c r="A179" s="118"/>
      <c r="B179" s="118"/>
      <c r="C179" s="118"/>
      <c r="D179" s="36" t="s">
        <v>445</v>
      </c>
      <c r="E179" s="116" t="s">
        <v>16</v>
      </c>
      <c r="F179" s="39" t="s">
        <v>301</v>
      </c>
      <c r="G179" s="19" t="s">
        <v>301</v>
      </c>
      <c r="H179" s="19" t="s">
        <v>301</v>
      </c>
      <c r="I179" s="19" t="s">
        <v>301</v>
      </c>
    </row>
    <row r="180" spans="1:9" hidden="1" x14ac:dyDescent="0.25">
      <c r="A180" s="118"/>
      <c r="B180" s="118"/>
      <c r="C180" s="118"/>
      <c r="D180" s="34" t="s">
        <v>402</v>
      </c>
      <c r="E180" s="118"/>
      <c r="F180" s="119" t="s">
        <v>6</v>
      </c>
      <c r="G180" s="20">
        <v>35565.699999999997</v>
      </c>
      <c r="H180" s="20">
        <v>40924</v>
      </c>
      <c r="I180" s="20">
        <v>40924</v>
      </c>
    </row>
    <row r="181" spans="1:9" hidden="1" x14ac:dyDescent="0.25">
      <c r="A181" s="118"/>
      <c r="B181" s="118"/>
      <c r="C181" s="118"/>
      <c r="D181" s="34" t="s">
        <v>403</v>
      </c>
      <c r="E181" s="118"/>
      <c r="F181" s="120"/>
      <c r="G181" s="20">
        <v>354</v>
      </c>
      <c r="H181" s="20">
        <v>246.45</v>
      </c>
      <c r="I181" s="20">
        <v>194.1</v>
      </c>
    </row>
    <row r="182" spans="1:9" hidden="1" x14ac:dyDescent="0.25">
      <c r="A182" s="118"/>
      <c r="B182" s="118"/>
      <c r="C182" s="118"/>
      <c r="D182" s="34" t="s">
        <v>404</v>
      </c>
      <c r="E182" s="118"/>
      <c r="F182" s="120"/>
      <c r="G182" s="20">
        <v>11448.6</v>
      </c>
      <c r="H182" s="20">
        <v>12721.3</v>
      </c>
      <c r="I182" s="20">
        <v>12721.3</v>
      </c>
    </row>
    <row r="183" spans="1:9" hidden="1" x14ac:dyDescent="0.25">
      <c r="A183" s="118"/>
      <c r="B183" s="118"/>
      <c r="C183" s="118"/>
      <c r="D183" s="34" t="s">
        <v>405</v>
      </c>
      <c r="E183" s="118"/>
      <c r="F183" s="120"/>
      <c r="G183" s="20">
        <v>337.3</v>
      </c>
      <c r="H183" s="20">
        <v>239.16</v>
      </c>
      <c r="I183" s="20">
        <v>235</v>
      </c>
    </row>
    <row r="184" spans="1:9" hidden="1" x14ac:dyDescent="0.25">
      <c r="A184" s="118"/>
      <c r="B184" s="118"/>
      <c r="C184" s="118"/>
      <c r="D184" s="34" t="s">
        <v>406</v>
      </c>
      <c r="E184" s="118"/>
      <c r="F184" s="120"/>
      <c r="G184" s="20">
        <v>16652.5</v>
      </c>
      <c r="H184" s="20">
        <v>12782.8</v>
      </c>
      <c r="I184" s="20">
        <v>12709</v>
      </c>
    </row>
    <row r="185" spans="1:9" hidden="1" x14ac:dyDescent="0.25">
      <c r="A185" s="118"/>
      <c r="B185" s="118"/>
      <c r="C185" s="118"/>
      <c r="D185" s="34" t="s">
        <v>407</v>
      </c>
      <c r="E185" s="118"/>
      <c r="F185" s="120"/>
      <c r="G185" s="20">
        <v>688</v>
      </c>
      <c r="H185" s="20">
        <v>380</v>
      </c>
      <c r="I185" s="20">
        <v>380</v>
      </c>
    </row>
    <row r="186" spans="1:9" hidden="1" x14ac:dyDescent="0.25">
      <c r="A186" s="118"/>
      <c r="B186" s="118"/>
      <c r="C186" s="118"/>
      <c r="D186" s="34" t="s">
        <v>408</v>
      </c>
      <c r="E186" s="118"/>
      <c r="F186" s="120"/>
      <c r="G186" s="20">
        <v>4</v>
      </c>
      <c r="H186" s="20">
        <v>4</v>
      </c>
      <c r="I186" s="20">
        <v>4</v>
      </c>
    </row>
    <row r="187" spans="1:9" hidden="1" x14ac:dyDescent="0.25">
      <c r="A187" s="118"/>
      <c r="B187" s="118"/>
      <c r="C187" s="118"/>
      <c r="D187" s="34" t="s">
        <v>409</v>
      </c>
      <c r="E187" s="118"/>
      <c r="F187" s="120"/>
      <c r="G187" s="20">
        <v>0</v>
      </c>
      <c r="H187" s="20">
        <v>460</v>
      </c>
      <c r="I187" s="20">
        <v>460</v>
      </c>
    </row>
    <row r="188" spans="1:9" hidden="1" x14ac:dyDescent="0.25">
      <c r="A188" s="117"/>
      <c r="B188" s="117"/>
      <c r="C188" s="117"/>
      <c r="D188" s="34" t="s">
        <v>410</v>
      </c>
      <c r="E188" s="117"/>
      <c r="F188" s="121"/>
      <c r="G188" s="20">
        <v>0</v>
      </c>
      <c r="H188" s="20">
        <v>1081.4000000000001</v>
      </c>
      <c r="I188" s="20">
        <v>1081.4000000000001</v>
      </c>
    </row>
    <row r="189" spans="1:9" ht="105" hidden="1" x14ac:dyDescent="0.25">
      <c r="A189" s="116" t="s">
        <v>411</v>
      </c>
      <c r="B189" s="116" t="s">
        <v>297</v>
      </c>
      <c r="C189" s="116" t="s">
        <v>412</v>
      </c>
      <c r="D189" s="34" t="s">
        <v>481</v>
      </c>
      <c r="E189" s="30" t="s">
        <v>340</v>
      </c>
      <c r="F189" s="39" t="s">
        <v>426</v>
      </c>
      <c r="G189" s="19">
        <v>160</v>
      </c>
      <c r="H189" s="19">
        <v>160</v>
      </c>
      <c r="I189" s="19">
        <v>144</v>
      </c>
    </row>
    <row r="190" spans="1:9" ht="30" hidden="1" x14ac:dyDescent="0.25">
      <c r="A190" s="118"/>
      <c r="B190" s="118"/>
      <c r="C190" s="118"/>
      <c r="D190" s="36" t="s">
        <v>445</v>
      </c>
      <c r="E190" s="116" t="s">
        <v>16</v>
      </c>
      <c r="F190" s="37" t="s">
        <v>301</v>
      </c>
      <c r="G190" s="19" t="s">
        <v>301</v>
      </c>
      <c r="H190" s="19" t="s">
        <v>301</v>
      </c>
      <c r="I190" s="19" t="s">
        <v>301</v>
      </c>
    </row>
    <row r="191" spans="1:9" hidden="1" x14ac:dyDescent="0.25">
      <c r="A191" s="118"/>
      <c r="B191" s="118"/>
      <c r="C191" s="118"/>
      <c r="D191" s="36" t="s">
        <v>413</v>
      </c>
      <c r="E191" s="118"/>
      <c r="F191" s="119" t="s">
        <v>6</v>
      </c>
      <c r="G191" s="20">
        <f>55438.3+41015.22</f>
        <v>96453.52</v>
      </c>
      <c r="H191" s="20">
        <f>63770.3+53607.56</f>
        <v>117377.86</v>
      </c>
      <c r="I191" s="20">
        <f>63770.3+52784.15</f>
        <v>116554.45000000001</v>
      </c>
    </row>
    <row r="192" spans="1:9" hidden="1" x14ac:dyDescent="0.25">
      <c r="A192" s="118"/>
      <c r="B192" s="118"/>
      <c r="C192" s="118"/>
      <c r="D192" s="36" t="s">
        <v>414</v>
      </c>
      <c r="E192" s="118"/>
      <c r="F192" s="120"/>
      <c r="G192" s="20">
        <f>14.5+231.8</f>
        <v>246.3</v>
      </c>
      <c r="H192" s="20">
        <v>86.33</v>
      </c>
      <c r="I192" s="20">
        <v>48.43</v>
      </c>
    </row>
    <row r="193" spans="1:9" hidden="1" x14ac:dyDescent="0.25">
      <c r="A193" s="118"/>
      <c r="B193" s="118"/>
      <c r="C193" s="118"/>
      <c r="D193" s="36" t="s">
        <v>415</v>
      </c>
      <c r="E193" s="118"/>
      <c r="F193" s="120"/>
      <c r="G193" s="20">
        <f>18112.7+12794.12</f>
        <v>30906.82</v>
      </c>
      <c r="H193" s="20">
        <f>20013.6+15720.35</f>
        <v>35733.949999999997</v>
      </c>
      <c r="I193" s="20">
        <f>20013.6+14162.26</f>
        <v>34175.86</v>
      </c>
    </row>
    <row r="194" spans="1:9" hidden="1" x14ac:dyDescent="0.25">
      <c r="A194" s="118"/>
      <c r="B194" s="118"/>
      <c r="C194" s="118"/>
      <c r="D194" s="36" t="s">
        <v>416</v>
      </c>
      <c r="E194" s="118"/>
      <c r="F194" s="120"/>
      <c r="G194" s="20">
        <f>266.1+301.25</f>
        <v>567.35</v>
      </c>
      <c r="H194" s="20">
        <f>266.2+298.77</f>
        <v>564.97</v>
      </c>
      <c r="I194" s="20">
        <f>266.2+298.42</f>
        <v>564.62</v>
      </c>
    </row>
    <row r="195" spans="1:9" hidden="1" x14ac:dyDescent="0.25">
      <c r="A195" s="118"/>
      <c r="B195" s="118"/>
      <c r="C195" s="118"/>
      <c r="D195" s="36" t="s">
        <v>417</v>
      </c>
      <c r="E195" s="118"/>
      <c r="F195" s="120"/>
      <c r="G195" s="20">
        <v>0</v>
      </c>
      <c r="H195" s="20">
        <f>517.5</f>
        <v>517.5</v>
      </c>
      <c r="I195" s="20">
        <f>517.5</f>
        <v>517.5</v>
      </c>
    </row>
    <row r="196" spans="1:9" hidden="1" x14ac:dyDescent="0.25">
      <c r="A196" s="118"/>
      <c r="B196" s="118"/>
      <c r="C196" s="118"/>
      <c r="D196" s="36" t="s">
        <v>418</v>
      </c>
      <c r="E196" s="118"/>
      <c r="F196" s="120"/>
      <c r="G196" s="20">
        <f>12376.1+14135.69</f>
        <v>26511.79</v>
      </c>
      <c r="H196" s="20">
        <f>11067.2+13992.27</f>
        <v>25059.47</v>
      </c>
      <c r="I196" s="20">
        <f>10994.2+13747.66</f>
        <v>24741.86</v>
      </c>
    </row>
    <row r="197" spans="1:9" hidden="1" x14ac:dyDescent="0.25">
      <c r="A197" s="118"/>
      <c r="B197" s="118"/>
      <c r="C197" s="118"/>
      <c r="D197" s="36" t="s">
        <v>419</v>
      </c>
      <c r="E197" s="118"/>
      <c r="F197" s="120"/>
      <c r="G197" s="20">
        <f>433.8+384.7</f>
        <v>818.5</v>
      </c>
      <c r="H197" s="20">
        <f>433.8+368.32</f>
        <v>802.12</v>
      </c>
      <c r="I197" s="20">
        <f>433.8+368.22</f>
        <v>802.02</v>
      </c>
    </row>
    <row r="198" spans="1:9" hidden="1" x14ac:dyDescent="0.25">
      <c r="A198" s="118"/>
      <c r="B198" s="118"/>
      <c r="C198" s="118"/>
      <c r="D198" s="36" t="s">
        <v>420</v>
      </c>
      <c r="E198" s="118"/>
      <c r="F198" s="120"/>
      <c r="G198" s="20">
        <f>22.2+59.93</f>
        <v>82.13</v>
      </c>
      <c r="H198" s="20">
        <f>2+25</f>
        <v>27</v>
      </c>
      <c r="I198" s="20">
        <f>2+18</f>
        <v>20</v>
      </c>
    </row>
    <row r="199" spans="1:9" hidden="1" x14ac:dyDescent="0.25">
      <c r="A199" s="118"/>
      <c r="B199" s="118"/>
      <c r="C199" s="118"/>
      <c r="D199" s="36" t="s">
        <v>421</v>
      </c>
      <c r="E199" s="118"/>
      <c r="F199" s="120"/>
      <c r="G199" s="20">
        <v>0</v>
      </c>
      <c r="H199" s="20">
        <f>0.02+19.17</f>
        <v>19.190000000000001</v>
      </c>
      <c r="I199" s="20">
        <f>0.02+19.17</f>
        <v>19.190000000000001</v>
      </c>
    </row>
    <row r="200" spans="1:9" hidden="1" x14ac:dyDescent="0.25">
      <c r="A200" s="117"/>
      <c r="B200" s="117"/>
      <c r="C200" s="117"/>
      <c r="D200" s="36" t="s">
        <v>422</v>
      </c>
      <c r="E200" s="117"/>
      <c r="F200" s="121"/>
      <c r="G200" s="20">
        <v>0</v>
      </c>
      <c r="H200" s="20">
        <f>511.8</f>
        <v>511.8</v>
      </c>
      <c r="I200" s="20">
        <f>511.8</f>
        <v>511.8</v>
      </c>
    </row>
    <row r="201" spans="1:9" ht="90" hidden="1" x14ac:dyDescent="0.25">
      <c r="A201" s="116" t="s">
        <v>276</v>
      </c>
      <c r="B201" s="116" t="s">
        <v>297</v>
      </c>
      <c r="C201" s="116" t="s">
        <v>423</v>
      </c>
      <c r="D201" s="31" t="s">
        <v>482</v>
      </c>
      <c r="E201" s="39" t="s">
        <v>228</v>
      </c>
      <c r="F201" s="39" t="s">
        <v>426</v>
      </c>
      <c r="G201" s="19">
        <v>3000</v>
      </c>
      <c r="H201" s="19">
        <v>2800</v>
      </c>
      <c r="I201" s="19">
        <v>2633</v>
      </c>
    </row>
    <row r="202" spans="1:9" ht="30" hidden="1" x14ac:dyDescent="0.25">
      <c r="A202" s="118"/>
      <c r="B202" s="118"/>
      <c r="C202" s="118"/>
      <c r="D202" s="36" t="s">
        <v>445</v>
      </c>
      <c r="E202" s="116" t="s">
        <v>16</v>
      </c>
      <c r="F202" s="38" t="s">
        <v>301</v>
      </c>
      <c r="G202" s="19" t="s">
        <v>301</v>
      </c>
      <c r="H202" s="19" t="s">
        <v>301</v>
      </c>
      <c r="I202" s="19" t="s">
        <v>301</v>
      </c>
    </row>
    <row r="203" spans="1:9" hidden="1" x14ac:dyDescent="0.25">
      <c r="A203" s="118"/>
      <c r="B203" s="118"/>
      <c r="C203" s="118"/>
      <c r="D203" s="36" t="s">
        <v>318</v>
      </c>
      <c r="E203" s="118"/>
      <c r="F203" s="120" t="s">
        <v>6</v>
      </c>
      <c r="G203" s="20">
        <v>10459.36</v>
      </c>
      <c r="H203" s="20">
        <v>10602.07</v>
      </c>
      <c r="I203" s="20">
        <v>10602.07</v>
      </c>
    </row>
    <row r="204" spans="1:9" hidden="1" x14ac:dyDescent="0.25">
      <c r="A204" s="118"/>
      <c r="B204" s="118"/>
      <c r="C204" s="118"/>
      <c r="D204" s="36" t="s">
        <v>319</v>
      </c>
      <c r="E204" s="118"/>
      <c r="F204" s="120"/>
      <c r="G204" s="20">
        <v>3158.73</v>
      </c>
      <c r="H204" s="20">
        <v>3201.82</v>
      </c>
      <c r="I204" s="20">
        <v>3201.82</v>
      </c>
    </row>
    <row r="205" spans="1:9" hidden="1" x14ac:dyDescent="0.25">
      <c r="A205" s="118"/>
      <c r="B205" s="118"/>
      <c r="C205" s="118"/>
      <c r="D205" s="36" t="s">
        <v>320</v>
      </c>
      <c r="E205" s="118"/>
      <c r="F205" s="120"/>
      <c r="G205" s="20">
        <v>12</v>
      </c>
      <c r="H205" s="20">
        <v>11.2</v>
      </c>
      <c r="I205" s="20">
        <v>11.2</v>
      </c>
    </row>
    <row r="206" spans="1:9" hidden="1" x14ac:dyDescent="0.25">
      <c r="A206" s="118"/>
      <c r="B206" s="118"/>
      <c r="C206" s="118"/>
      <c r="D206" s="36" t="s">
        <v>321</v>
      </c>
      <c r="E206" s="118"/>
      <c r="F206" s="120"/>
      <c r="G206" s="20">
        <v>1498.89</v>
      </c>
      <c r="H206" s="20">
        <v>1398.56</v>
      </c>
      <c r="I206" s="20">
        <v>1398.74</v>
      </c>
    </row>
    <row r="207" spans="1:9" hidden="1" x14ac:dyDescent="0.25">
      <c r="A207" s="117"/>
      <c r="B207" s="117"/>
      <c r="C207" s="117"/>
      <c r="D207" s="36" t="s">
        <v>322</v>
      </c>
      <c r="E207" s="117"/>
      <c r="F207" s="121"/>
      <c r="G207" s="20">
        <v>100.02</v>
      </c>
      <c r="H207" s="20">
        <v>93.35</v>
      </c>
      <c r="I207" s="20">
        <v>93.35</v>
      </c>
    </row>
    <row r="208" spans="1:9" ht="90" hidden="1" x14ac:dyDescent="0.25">
      <c r="A208" s="116" t="s">
        <v>277</v>
      </c>
      <c r="B208" s="116" t="s">
        <v>297</v>
      </c>
      <c r="C208" s="116" t="s">
        <v>424</v>
      </c>
      <c r="D208" s="32" t="s">
        <v>483</v>
      </c>
      <c r="E208" s="39" t="s">
        <v>425</v>
      </c>
      <c r="F208" s="39" t="s">
        <v>426</v>
      </c>
      <c r="G208" s="19">
        <v>6840</v>
      </c>
      <c r="H208" s="19">
        <v>6840</v>
      </c>
      <c r="I208" s="19">
        <v>6804</v>
      </c>
    </row>
    <row r="209" spans="1:9" ht="30" hidden="1" x14ac:dyDescent="0.25">
      <c r="A209" s="118"/>
      <c r="B209" s="118"/>
      <c r="C209" s="118"/>
      <c r="D209" s="36" t="s">
        <v>445</v>
      </c>
      <c r="E209" s="116" t="s">
        <v>16</v>
      </c>
      <c r="F209" s="39" t="s">
        <v>301</v>
      </c>
      <c r="G209" s="19" t="s">
        <v>301</v>
      </c>
      <c r="H209" s="19" t="s">
        <v>301</v>
      </c>
      <c r="I209" s="19" t="s">
        <v>301</v>
      </c>
    </row>
    <row r="210" spans="1:9" hidden="1" x14ac:dyDescent="0.25">
      <c r="A210" s="118"/>
      <c r="B210" s="118"/>
      <c r="C210" s="118"/>
      <c r="D210" s="34" t="s">
        <v>427</v>
      </c>
      <c r="E210" s="118"/>
      <c r="F210" s="119" t="s">
        <v>6</v>
      </c>
      <c r="G210" s="20">
        <v>29178.6</v>
      </c>
      <c r="H210" s="20">
        <v>38001.5</v>
      </c>
      <c r="I210" s="20">
        <v>31490.6</v>
      </c>
    </row>
    <row r="211" spans="1:9" hidden="1" x14ac:dyDescent="0.25">
      <c r="A211" s="118"/>
      <c r="B211" s="118"/>
      <c r="C211" s="118"/>
      <c r="D211" s="34" t="s">
        <v>428</v>
      </c>
      <c r="E211" s="118"/>
      <c r="F211" s="120"/>
      <c r="G211" s="20">
        <v>300</v>
      </c>
      <c r="H211" s="20">
        <v>330</v>
      </c>
      <c r="I211" s="20">
        <v>329.9</v>
      </c>
    </row>
    <row r="212" spans="1:9" hidden="1" x14ac:dyDescent="0.25">
      <c r="A212" s="118"/>
      <c r="B212" s="118"/>
      <c r="C212" s="118"/>
      <c r="D212" s="34" t="s">
        <v>429</v>
      </c>
      <c r="E212" s="118"/>
      <c r="F212" s="120"/>
      <c r="G212" s="20">
        <v>8811.6</v>
      </c>
      <c r="H212" s="20">
        <v>11671.9</v>
      </c>
      <c r="I212" s="20">
        <v>9228.7000000000007</v>
      </c>
    </row>
    <row r="213" spans="1:9" hidden="1" x14ac:dyDescent="0.25">
      <c r="A213" s="118"/>
      <c r="B213" s="118"/>
      <c r="C213" s="118"/>
      <c r="D213" s="34" t="s">
        <v>430</v>
      </c>
      <c r="E213" s="118"/>
      <c r="F213" s="120"/>
      <c r="G213" s="20">
        <v>546.20000000000005</v>
      </c>
      <c r="H213" s="20">
        <v>606.4</v>
      </c>
      <c r="I213" s="20">
        <v>606.4</v>
      </c>
    </row>
    <row r="214" spans="1:9" hidden="1" x14ac:dyDescent="0.25">
      <c r="A214" s="118"/>
      <c r="B214" s="118"/>
      <c r="C214" s="118"/>
      <c r="D214" s="34" t="s">
        <v>431</v>
      </c>
      <c r="E214" s="118"/>
      <c r="F214" s="120"/>
      <c r="G214" s="20">
        <v>24891</v>
      </c>
      <c r="H214" s="20">
        <v>24578</v>
      </c>
      <c r="I214" s="20">
        <v>24577.599999999999</v>
      </c>
    </row>
    <row r="215" spans="1:9" hidden="1" x14ac:dyDescent="0.25">
      <c r="A215" s="118"/>
      <c r="B215" s="118"/>
      <c r="C215" s="118"/>
      <c r="D215" s="34" t="s">
        <v>432</v>
      </c>
      <c r="E215" s="118"/>
      <c r="F215" s="120"/>
      <c r="G215" s="20">
        <v>9000</v>
      </c>
      <c r="H215" s="20">
        <v>9000</v>
      </c>
      <c r="I215" s="20">
        <v>8872.1</v>
      </c>
    </row>
    <row r="216" spans="1:9" hidden="1" x14ac:dyDescent="0.25">
      <c r="A216" s="118"/>
      <c r="B216" s="118"/>
      <c r="C216" s="118"/>
      <c r="D216" s="34" t="s">
        <v>433</v>
      </c>
      <c r="E216" s="118"/>
      <c r="F216" s="120"/>
      <c r="G216" s="20">
        <v>409.8</v>
      </c>
      <c r="H216" s="20">
        <v>120.8</v>
      </c>
      <c r="I216" s="20">
        <v>120.8</v>
      </c>
    </row>
    <row r="217" spans="1:9" hidden="1" x14ac:dyDescent="0.25">
      <c r="A217" s="118"/>
      <c r="B217" s="118"/>
      <c r="C217" s="118"/>
      <c r="D217" s="34" t="s">
        <v>434</v>
      </c>
      <c r="E217" s="118"/>
      <c r="F217" s="120"/>
      <c r="G217" s="20">
        <v>86.7</v>
      </c>
      <c r="H217" s="20">
        <v>2.8</v>
      </c>
      <c r="I217" s="20">
        <v>2.8</v>
      </c>
    </row>
    <row r="218" spans="1:9" hidden="1" x14ac:dyDescent="0.25">
      <c r="A218" s="117"/>
      <c r="B218" s="117"/>
      <c r="C218" s="117"/>
      <c r="D218" s="34" t="s">
        <v>435</v>
      </c>
      <c r="E218" s="117"/>
      <c r="F218" s="121"/>
      <c r="G218" s="20">
        <v>0</v>
      </c>
      <c r="H218" s="20">
        <v>50.8</v>
      </c>
      <c r="I218" s="20">
        <v>50.8</v>
      </c>
    </row>
    <row r="219" spans="1:9" ht="30" hidden="1" x14ac:dyDescent="0.25">
      <c r="A219" s="116" t="s">
        <v>278</v>
      </c>
      <c r="B219" s="116" t="s">
        <v>297</v>
      </c>
      <c r="C219" s="116" t="s">
        <v>436</v>
      </c>
      <c r="D219" s="116" t="s">
        <v>484</v>
      </c>
      <c r="E219" s="36" t="s">
        <v>437</v>
      </c>
      <c r="F219" s="36" t="s">
        <v>85</v>
      </c>
      <c r="G219" s="19">
        <v>24000</v>
      </c>
      <c r="H219" s="19">
        <v>19400</v>
      </c>
      <c r="I219" s="19">
        <v>18654</v>
      </c>
    </row>
    <row r="220" spans="1:9" ht="30" hidden="1" x14ac:dyDescent="0.25">
      <c r="A220" s="118"/>
      <c r="B220" s="118"/>
      <c r="C220" s="118"/>
      <c r="D220" s="141"/>
      <c r="E220" s="36" t="s">
        <v>438</v>
      </c>
      <c r="F220" s="36" t="s">
        <v>85</v>
      </c>
      <c r="G220" s="19">
        <v>2300</v>
      </c>
      <c r="H220" s="19">
        <v>2600</v>
      </c>
      <c r="I220" s="19">
        <v>2777</v>
      </c>
    </row>
    <row r="221" spans="1:9" ht="30" hidden="1" x14ac:dyDescent="0.25">
      <c r="A221" s="118"/>
      <c r="B221" s="118"/>
      <c r="C221" s="118"/>
      <c r="D221" s="39" t="s">
        <v>445</v>
      </c>
      <c r="E221" s="116" t="s">
        <v>16</v>
      </c>
      <c r="F221" s="34" t="s">
        <v>301</v>
      </c>
      <c r="G221" s="19" t="s">
        <v>301</v>
      </c>
      <c r="H221" s="19" t="s">
        <v>301</v>
      </c>
      <c r="I221" s="19" t="s">
        <v>301</v>
      </c>
    </row>
    <row r="222" spans="1:9" hidden="1" x14ac:dyDescent="0.25">
      <c r="A222" s="118"/>
      <c r="B222" s="118"/>
      <c r="C222" s="118"/>
      <c r="D222" s="36" t="s">
        <v>395</v>
      </c>
      <c r="E222" s="118"/>
      <c r="F222" s="116" t="s">
        <v>68</v>
      </c>
      <c r="G222" s="20">
        <f>50567.8</f>
        <v>50567.8</v>
      </c>
      <c r="H222" s="20">
        <v>48538.080000000002</v>
      </c>
      <c r="I222" s="20">
        <f>55044.4</f>
        <v>55044.4</v>
      </c>
    </row>
    <row r="223" spans="1:9" hidden="1" x14ac:dyDescent="0.25">
      <c r="A223" s="118"/>
      <c r="B223" s="118"/>
      <c r="C223" s="118"/>
      <c r="D223" s="36" t="s">
        <v>309</v>
      </c>
      <c r="E223" s="118"/>
      <c r="F223" s="183"/>
      <c r="G223" s="20"/>
      <c r="H223" s="20"/>
      <c r="I223" s="20"/>
    </row>
    <row r="224" spans="1:9" hidden="1" x14ac:dyDescent="0.25">
      <c r="A224" s="117"/>
      <c r="B224" s="117"/>
      <c r="C224" s="117"/>
      <c r="D224" s="36" t="s">
        <v>439</v>
      </c>
      <c r="E224" s="117"/>
      <c r="F224" s="141"/>
      <c r="G224" s="20"/>
      <c r="H224" s="20"/>
      <c r="I224" s="20"/>
    </row>
    <row r="225" spans="1:9" ht="120" hidden="1" x14ac:dyDescent="0.25">
      <c r="A225" s="116" t="s">
        <v>400</v>
      </c>
      <c r="B225" s="116" t="s">
        <v>297</v>
      </c>
      <c r="C225" s="116" t="s">
        <v>440</v>
      </c>
      <c r="D225" s="36" t="s">
        <v>485</v>
      </c>
      <c r="E225" s="36" t="s">
        <v>441</v>
      </c>
      <c r="F225" s="36" t="s">
        <v>103</v>
      </c>
      <c r="G225" s="19"/>
      <c r="H225" s="19"/>
      <c r="I225" s="19"/>
    </row>
    <row r="226" spans="1:9" ht="30" hidden="1" x14ac:dyDescent="0.25">
      <c r="A226" s="118"/>
      <c r="B226" s="118"/>
      <c r="C226" s="118"/>
      <c r="D226" s="36" t="s">
        <v>445</v>
      </c>
      <c r="E226" s="16"/>
      <c r="F226" s="36"/>
      <c r="G226" s="19"/>
      <c r="H226" s="19"/>
      <c r="I226" s="19"/>
    </row>
    <row r="227" spans="1:9" ht="105" hidden="1" x14ac:dyDescent="0.25">
      <c r="A227" s="117"/>
      <c r="B227" s="117"/>
      <c r="C227" s="117"/>
      <c r="D227" s="36" t="s">
        <v>386</v>
      </c>
      <c r="E227" s="36" t="s">
        <v>16</v>
      </c>
      <c r="F227" s="36" t="s">
        <v>68</v>
      </c>
      <c r="G227" s="20"/>
      <c r="H227" s="20"/>
      <c r="I227" s="20"/>
    </row>
    <row r="228" spans="1:9" ht="114" hidden="1" x14ac:dyDescent="0.25">
      <c r="A228" s="144" t="s">
        <v>67</v>
      </c>
      <c r="B228" s="145"/>
      <c r="C228" s="145"/>
      <c r="D228" s="147"/>
      <c r="E228" s="10" t="s">
        <v>17</v>
      </c>
      <c r="F228" s="10" t="s">
        <v>6</v>
      </c>
      <c r="G228" s="33">
        <f>+G5+G6+G8+G13+G14+G15++G16+G17+G21+G22+G23+G24+G25+G29+G30+G31+G32+G33+G34+G39+G43+G44+G45+G46+G47+G51+G57+G58+G59+G60+G61+G62+G63+G64+G65+G69+G72+G73+G74+G77+G80+G83+G84+G85+G86+G87+G88+G93+G94+G97+G101+G102+G103+G104+G105+G106+G107+G108+G109+G111+G110+G112+G123+G124+G113+G114+G115+G116+G117+G118+G119+G120+G121+G122+G129+G132+G135+G138+G141+G144+G147+G150+G151+G154+G157+G160+G163+G165+G169+G173+G177+G180+G181+G182+G183+G184+G185+G187+G186+G188+G191+G192+G193+G194+G195+G196+G197+G198+G199+G200+G203+G204+G205+G206+G207+G210+G211+G212+G213+G214+G215+G216+G217+G218+G219+G222</f>
        <v>2189823.0199999996</v>
      </c>
      <c r="H228" s="33">
        <f>H5+H6+H8+H9+H13+H14+H15+H16+H17+H21+H22+H23+H24+H25+H29+H30+H31+H32+H33+H34+H38+H39+H43+H44+H45+H46+H47+H51+H54+H57+H58+H59+H60+H61+H62+H63+H64+H65+H69+H72+H73+H74+H77+H80+H83+H84+H85+H86+H87+H88+H93+H94+H97+H101+H102+H103+H104+H105+H106+H107+H108+H109+H110+H111+H112+H113+H114+H115+H116+H117+H118+H119+H120+H121+H122+H123+H124+H129++H135+H138+H141+H144+H147+H150+H151+H154+H157+H160+H163+H165+H169+H173+H177+H180+H181+H182+H183+H184+H185+H186+H187+H188+H191+H192+H193+H194+H195+H196+H197+H198+H199+H200+H203+H204+H205+H206+H207+H210+H211+H212+H213+H214+H215+H216+H217+H218+H222+H132</f>
        <v>2387308.9999999995</v>
      </c>
      <c r="I228" s="33">
        <f>I5+I6+I8+I9+I13+I14+I15+I16+I17+I21+I22+I23+I24+I25+I29+I30+I31+I32+I33+I34+I38+I39+I43+I44+I45+I46+I47+I51+I54+I57+I58+I59+I60+I61+I62+I63+I64+I65+I69+I72+I73+I74+I77+I80+I83+I84+I85+I86+I87+I88+I93+I94+I97+I101+I102+I103+I104+I105+I106+I107+I108+I109+I110+I111+I112+I113+I114+I115+I116+I117+I118+I119+I120+I121+I122+I123+I124+I129++I135+I138+I141+I144+I147+I150+I151+I154+I157+I160+I163+I165+I169+I173+I177+I180+I181+I182+I183+I184+I185+I186+I187+I188+I191+I192+I193+I194+I195+I196+I197+I198+I199+I200+I203+I204+I205+I206+I207+I210+I211+I212+I213+I214+I215+I216+I217+I218+I222+I132</f>
        <v>2440347.84</v>
      </c>
    </row>
    <row r="229" spans="1:9" ht="114" hidden="1" x14ac:dyDescent="0.25">
      <c r="A229" s="144" t="s">
        <v>442</v>
      </c>
      <c r="B229" s="145"/>
      <c r="C229" s="145"/>
      <c r="D229" s="147"/>
      <c r="E229" s="10" t="s">
        <v>17</v>
      </c>
      <c r="F229" s="10" t="s">
        <v>6</v>
      </c>
      <c r="G229" s="33">
        <f>G228</f>
        <v>2189823.0199999996</v>
      </c>
      <c r="H229" s="33">
        <f>H228</f>
        <v>2387308.9999999995</v>
      </c>
      <c r="I229" s="33">
        <f>I228</f>
        <v>2440347.84</v>
      </c>
    </row>
  </sheetData>
  <autoFilter ref="A1:I229">
    <filterColumn colId="3">
      <filters>
        <filter val="003 0704 1660413427 621"/>
      </filters>
    </filterColumn>
  </autoFilter>
  <mergeCells count="185">
    <mergeCell ref="A10:A17"/>
    <mergeCell ref="B10:B17"/>
    <mergeCell ref="C10:C17"/>
    <mergeCell ref="D10:D11"/>
    <mergeCell ref="E12:E17"/>
    <mergeCell ref="F13:F17"/>
    <mergeCell ref="A2:A9"/>
    <mergeCell ref="B2:B9"/>
    <mergeCell ref="C2:C9"/>
    <mergeCell ref="D2:D3"/>
    <mergeCell ref="E4:E9"/>
    <mergeCell ref="F5:F9"/>
    <mergeCell ref="A26:A34"/>
    <mergeCell ref="B26:B34"/>
    <mergeCell ref="C26:C34"/>
    <mergeCell ref="D26:D27"/>
    <mergeCell ref="E28:E34"/>
    <mergeCell ref="F29:F34"/>
    <mergeCell ref="A18:A25"/>
    <mergeCell ref="B18:B25"/>
    <mergeCell ref="C18:C25"/>
    <mergeCell ref="D18:D19"/>
    <mergeCell ref="E20:E25"/>
    <mergeCell ref="F21:F25"/>
    <mergeCell ref="F43:F47"/>
    <mergeCell ref="A48:A51"/>
    <mergeCell ref="B48:B51"/>
    <mergeCell ref="C48:C51"/>
    <mergeCell ref="D48:D49"/>
    <mergeCell ref="E50:E51"/>
    <mergeCell ref="A35:A39"/>
    <mergeCell ref="B35:B39"/>
    <mergeCell ref="C35:C39"/>
    <mergeCell ref="D35:D36"/>
    <mergeCell ref="E37:E39"/>
    <mergeCell ref="F38:F39"/>
    <mergeCell ref="A52:A54"/>
    <mergeCell ref="B52:B54"/>
    <mergeCell ref="C52:C54"/>
    <mergeCell ref="E53:E54"/>
    <mergeCell ref="A55:A66"/>
    <mergeCell ref="B55:B66"/>
    <mergeCell ref="C55:C66"/>
    <mergeCell ref="E56:E65"/>
    <mergeCell ref="B40:B42"/>
    <mergeCell ref="C40:C47"/>
    <mergeCell ref="D40:D41"/>
    <mergeCell ref="E42:E47"/>
    <mergeCell ref="A75:A77"/>
    <mergeCell ref="B75:B77"/>
    <mergeCell ref="C75:C77"/>
    <mergeCell ref="E76:E77"/>
    <mergeCell ref="A78:A80"/>
    <mergeCell ref="B78:B80"/>
    <mergeCell ref="C78:C80"/>
    <mergeCell ref="E79:E80"/>
    <mergeCell ref="F57:F66"/>
    <mergeCell ref="A67:A69"/>
    <mergeCell ref="B67:B69"/>
    <mergeCell ref="C67:C69"/>
    <mergeCell ref="E68:E69"/>
    <mergeCell ref="A70:A74"/>
    <mergeCell ref="B70:B74"/>
    <mergeCell ref="C70:C74"/>
    <mergeCell ref="E71:E74"/>
    <mergeCell ref="F72:F74"/>
    <mergeCell ref="A81:A89"/>
    <mergeCell ref="B81:B89"/>
    <mergeCell ref="C81:C89"/>
    <mergeCell ref="E82:E88"/>
    <mergeCell ref="F83:F89"/>
    <mergeCell ref="A90:A94"/>
    <mergeCell ref="B90:B94"/>
    <mergeCell ref="C90:C94"/>
    <mergeCell ref="E91:E94"/>
    <mergeCell ref="F92:F94"/>
    <mergeCell ref="A95:A97"/>
    <mergeCell ref="B95:B97"/>
    <mergeCell ref="C95:C97"/>
    <mergeCell ref="E96:E97"/>
    <mergeCell ref="A98:A124"/>
    <mergeCell ref="B98:B124"/>
    <mergeCell ref="C98:C124"/>
    <mergeCell ref="D98:D99"/>
    <mergeCell ref="E100:E124"/>
    <mergeCell ref="A130:A132"/>
    <mergeCell ref="B130:B132"/>
    <mergeCell ref="C130:C132"/>
    <mergeCell ref="E131:E132"/>
    <mergeCell ref="A133:A135"/>
    <mergeCell ref="B133:B135"/>
    <mergeCell ref="C133:C135"/>
    <mergeCell ref="E134:E135"/>
    <mergeCell ref="F101:F124"/>
    <mergeCell ref="A125:A129"/>
    <mergeCell ref="B125:B129"/>
    <mergeCell ref="C125:C129"/>
    <mergeCell ref="E126:E129"/>
    <mergeCell ref="F127:F129"/>
    <mergeCell ref="A142:A144"/>
    <mergeCell ref="B142:B144"/>
    <mergeCell ref="C142:C144"/>
    <mergeCell ref="E143:E144"/>
    <mergeCell ref="A145:A147"/>
    <mergeCell ref="B145:B147"/>
    <mergeCell ref="C145:C147"/>
    <mergeCell ref="E146:E147"/>
    <mergeCell ref="A136:A138"/>
    <mergeCell ref="B136:B138"/>
    <mergeCell ref="C136:C138"/>
    <mergeCell ref="E137:E138"/>
    <mergeCell ref="A139:A141"/>
    <mergeCell ref="B139:B141"/>
    <mergeCell ref="C139:C141"/>
    <mergeCell ref="E140:E141"/>
    <mergeCell ref="A148:A151"/>
    <mergeCell ref="B148:B151"/>
    <mergeCell ref="C148:C151"/>
    <mergeCell ref="E149:E151"/>
    <mergeCell ref="F150:F151"/>
    <mergeCell ref="A152:A154"/>
    <mergeCell ref="B152:B154"/>
    <mergeCell ref="C152:C154"/>
    <mergeCell ref="E153:E154"/>
    <mergeCell ref="A161:A163"/>
    <mergeCell ref="B161:B163"/>
    <mergeCell ref="C161:C163"/>
    <mergeCell ref="E162:E163"/>
    <mergeCell ref="A164:A165"/>
    <mergeCell ref="B164:B165"/>
    <mergeCell ref="C164:C165"/>
    <mergeCell ref="A155:A157"/>
    <mergeCell ref="B155:B157"/>
    <mergeCell ref="C155:C157"/>
    <mergeCell ref="E156:E157"/>
    <mergeCell ref="A158:A160"/>
    <mergeCell ref="B158:B160"/>
    <mergeCell ref="C158:C160"/>
    <mergeCell ref="E159:E160"/>
    <mergeCell ref="A166:A169"/>
    <mergeCell ref="B166:B169"/>
    <mergeCell ref="C166:C169"/>
    <mergeCell ref="D166:D167"/>
    <mergeCell ref="E168:E169"/>
    <mergeCell ref="A170:A173"/>
    <mergeCell ref="B170:B173"/>
    <mergeCell ref="C170:C173"/>
    <mergeCell ref="D170:D171"/>
    <mergeCell ref="E172:E173"/>
    <mergeCell ref="A174:A177"/>
    <mergeCell ref="B174:B177"/>
    <mergeCell ref="C174:C177"/>
    <mergeCell ref="E175:E177"/>
    <mergeCell ref="F176:F177"/>
    <mergeCell ref="A178:A188"/>
    <mergeCell ref="B178:B188"/>
    <mergeCell ref="C178:C188"/>
    <mergeCell ref="E179:E188"/>
    <mergeCell ref="F180:F188"/>
    <mergeCell ref="A189:A200"/>
    <mergeCell ref="B189:B200"/>
    <mergeCell ref="C189:C200"/>
    <mergeCell ref="E190:E200"/>
    <mergeCell ref="F191:F200"/>
    <mergeCell ref="A201:A207"/>
    <mergeCell ref="B201:B207"/>
    <mergeCell ref="C201:C207"/>
    <mergeCell ref="E202:E207"/>
    <mergeCell ref="F203:F207"/>
    <mergeCell ref="F222:F224"/>
    <mergeCell ref="A225:A227"/>
    <mergeCell ref="B225:B227"/>
    <mergeCell ref="C225:C227"/>
    <mergeCell ref="A228:D228"/>
    <mergeCell ref="A229:D229"/>
    <mergeCell ref="A208:A218"/>
    <mergeCell ref="B208:B218"/>
    <mergeCell ref="C208:C218"/>
    <mergeCell ref="E209:E218"/>
    <mergeCell ref="F210:F218"/>
    <mergeCell ref="A219:A224"/>
    <mergeCell ref="B219:B224"/>
    <mergeCell ref="C219:C224"/>
    <mergeCell ref="D219:D220"/>
    <mergeCell ref="E221:E2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2021-06-01T03:06:57Z</cp:lastPrinted>
  <dcterms:created xsi:type="dcterms:W3CDTF">2017-11-20T07:07:11Z</dcterms:created>
  <dcterms:modified xsi:type="dcterms:W3CDTF">2021-06-02T04:14:16Z</dcterms:modified>
</cp:coreProperties>
</file>