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23040" windowHeight="9135"/>
  </bookViews>
  <sheets>
    <sheet name="Документ" sheetId="2" r:id="rId1"/>
  </sheets>
  <definedNames>
    <definedName name="_xlnm._FilterDatabase" localSheetId="0" hidden="1">Документ!$A$6:$G$101</definedName>
    <definedName name="_xlnm.Print_Titles" localSheetId="0">Документ!$4:$6</definedName>
    <definedName name="_xlnm.Print_Area" localSheetId="0">Документ!$A$1:$F$102</definedName>
  </definedNames>
  <calcPr calcId="145621"/>
</workbook>
</file>

<file path=xl/calcChain.xml><?xml version="1.0" encoding="utf-8"?>
<calcChain xmlns="http://schemas.openxmlformats.org/spreadsheetml/2006/main">
  <c r="D81" i="2" l="1"/>
  <c r="C81" i="2"/>
  <c r="F11" i="2"/>
  <c r="D100" i="2" l="1"/>
  <c r="D98" i="2"/>
  <c r="D95" i="2"/>
  <c r="D94" i="2"/>
  <c r="D93" i="2"/>
  <c r="D90" i="2"/>
  <c r="E81" i="2"/>
  <c r="D86" i="2"/>
  <c r="D85" i="2"/>
  <c r="D83" i="2"/>
  <c r="C100" i="2"/>
  <c r="C98" i="2"/>
  <c r="C96" i="2"/>
  <c r="C94" i="2"/>
  <c r="C92" i="2"/>
  <c r="C90" i="2"/>
  <c r="C86" i="2"/>
  <c r="C85" i="2"/>
  <c r="C83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 s="1"/>
  <c r="D53" i="2"/>
  <c r="D52" i="2"/>
  <c r="D51" i="2"/>
  <c r="D50" i="2"/>
  <c r="D49" i="2"/>
  <c r="D48" i="2"/>
  <c r="D46" i="2"/>
  <c r="D45" i="2"/>
  <c r="D42" i="2"/>
  <c r="D40" i="2"/>
  <c r="D39" i="2"/>
  <c r="D38" i="2"/>
  <c r="D37" i="2"/>
  <c r="D36" i="2"/>
  <c r="D35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C53" i="2"/>
  <c r="C52" i="2"/>
  <c r="C50" i="2"/>
  <c r="C49" i="2"/>
  <c r="C48" i="2"/>
  <c r="C47" i="2"/>
  <c r="C46" i="2"/>
  <c r="C45" i="2"/>
  <c r="C44" i="2"/>
  <c r="C42" i="2"/>
  <c r="C41" i="2"/>
  <c r="C40" i="2"/>
  <c r="C39" i="2"/>
  <c r="C38" i="2"/>
  <c r="C36" i="2"/>
  <c r="C35" i="2"/>
  <c r="C34" i="2"/>
  <c r="C33" i="2"/>
  <c r="C32" i="2"/>
  <c r="C30" i="2"/>
  <c r="C29" i="2"/>
  <c r="C28" i="2"/>
  <c r="C27" i="2"/>
  <c r="C26" i="2"/>
  <c r="C25" i="2"/>
  <c r="C24" i="2"/>
  <c r="C23" i="2"/>
  <c r="C22" i="2"/>
  <c r="C19" i="2"/>
  <c r="C17" i="2"/>
  <c r="C16" i="2"/>
  <c r="C15" i="2"/>
  <c r="C14" i="2"/>
  <c r="C11" i="2" l="1"/>
  <c r="F7" i="2"/>
  <c r="D10" i="2"/>
  <c r="D9" i="2"/>
  <c r="D8" i="2"/>
  <c r="C10" i="2"/>
  <c r="C9" i="2"/>
  <c r="C8" i="2"/>
  <c r="C7" i="2" l="1"/>
  <c r="D7" i="2"/>
  <c r="D54" i="2"/>
  <c r="D11" i="2"/>
  <c r="F54" i="2" l="1"/>
  <c r="E54" i="2"/>
  <c r="E11" i="2"/>
  <c r="D101" i="2"/>
  <c r="E7" i="2"/>
  <c r="C101" i="2" l="1"/>
  <c r="E101" i="2"/>
</calcChain>
</file>

<file path=xl/sharedStrings.xml><?xml version="1.0" encoding="utf-8"?>
<sst xmlns="http://schemas.openxmlformats.org/spreadsheetml/2006/main" count="180" uniqueCount="177">
  <si>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</si>
  <si>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</si>
  <si>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</si>
  <si>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</si>
  <si>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</si>
  <si>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 xml:space="preserve">  Дотации на выравнивание бюджетной обеспеченности муниципальных районов (городских округов)</t>
  </si>
  <si>
    <t>0130278020</t>
  </si>
  <si>
    <t xml:space="preserve">  Дотации на поддержку мер по обеспечению сбалансированности бюджетов муниципальных районов (городских округов) Забайкальского края</t>
  </si>
  <si>
    <t>0130278050</t>
  </si>
  <si>
    <t xml:space="preserve">  Дотации, связанные с особым режимом безопасного функционирования закрытых административно-территориальных образований</t>
  </si>
  <si>
    <t>8800050100</t>
  </si>
  <si>
    <t>2. Субсидии - всего:</t>
  </si>
  <si>
    <t>1210374521</t>
  </si>
  <si>
    <t>1330374315</t>
  </si>
  <si>
    <t>1330374317</t>
  </si>
  <si>
    <t>1470271101</t>
  </si>
  <si>
    <t>2710274905</t>
  </si>
  <si>
    <t>28301R0230</t>
  </si>
  <si>
    <t>3. Субвенции - всего:</t>
  </si>
  <si>
    <t>4. Иные межбюджетные трансферты - всего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</si>
  <si>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</si>
  <si>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</si>
  <si>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</si>
  <si>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</si>
  <si>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</si>
  <si>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</si>
  <si>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15106R4670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</si>
  <si>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</si>
  <si>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12301R4970</t>
  </si>
  <si>
    <t>15103R4660</t>
  </si>
  <si>
    <t>24202R0270</t>
  </si>
  <si>
    <t>15102R5190</t>
  </si>
  <si>
    <t>15106R5190</t>
  </si>
  <si>
    <t>19703R5150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</si>
  <si>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</si>
  <si>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</si>
  <si>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малого и среднего предпринимательства в субъектах Российской Федерации</t>
  </si>
  <si>
    <t>032I555270</t>
  </si>
  <si>
    <t>Государственная поддержка отрасли культуры</t>
  </si>
  <si>
    <t>151A155190</t>
  </si>
  <si>
    <t>Мероприятия государственной программы Российской Федерации "Доступная среда"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</si>
  <si>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</si>
  <si>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</si>
  <si>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28301R1780</t>
  </si>
  <si>
    <t>Модернизация и закрытие котельных с их переводом на централизованное теплоснабжение</t>
  </si>
  <si>
    <t>082G474508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</si>
  <si>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</si>
  <si>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Модернизация региональных и муниципальных детских школ искусств по видам искусств</t>
  </si>
  <si>
    <t>15105R3060</t>
  </si>
  <si>
    <t>Обеспечение основных требований действующего законодательства в области антитеррористической безопасности образовательных организаций</t>
  </si>
  <si>
    <t>1410671440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</si>
  <si>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</si>
  <si>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Осуществление городским округом "Город Чита" функций административного центра (столицы) Забайкальского края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</si>
  <si>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</si>
  <si>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</si>
  <si>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</si>
  <si>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Проектирование и строительство троллейбусных линий</t>
  </si>
  <si>
    <t>131G474506</t>
  </si>
  <si>
    <t>Развитие транспортной инфраструктуры на сельских территориях</t>
  </si>
  <si>
    <t>32301R3720</t>
  </si>
  <si>
    <t>Разработка проектно-сметной документации и (или) строительство объектов нецентрализованного питьевого водоснабжения, находящихся в муниципальной собственности</t>
  </si>
  <si>
    <t>2720274103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</si>
  <si>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</si>
  <si>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комплексному развитию сельских территорий</t>
  </si>
  <si>
    <t>32101R5760</t>
  </si>
  <si>
    <t>32201R5760</t>
  </si>
  <si>
    <t>32302R5760</t>
  </si>
  <si>
    <t>32303R5760</t>
  </si>
  <si>
    <t>Реализация мероприятий по ликвидации мест несанкционированного размещения отходов</t>
  </si>
  <si>
    <t>0820177264</t>
  </si>
  <si>
    <t>Реализация мероприятий по обеспечению жильем молодых семей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</si>
  <si>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</si>
  <si>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</si>
  <si>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</si>
  <si>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</si>
  <si>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</si>
  <si>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</si>
  <si>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</si>
  <si>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</si>
  <si>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</si>
  <si>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</si>
  <si>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центров цифрового образования детей</t>
  </si>
  <si>
    <t>145E452190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</si>
  <si>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</si>
  <si>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0130278180</t>
  </si>
  <si>
    <t>2710174102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</si>
  <si>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</si>
  <si>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2420172270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</si>
  <si>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</si>
  <si>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</si>
  <si>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</si>
  <si>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реализацию мероприятий по осуществлению расходов, связанных с созданием центров цифрового образования детей</t>
  </si>
  <si>
    <t>145E471442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</si>
  <si>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</si>
  <si>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</si>
  <si>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184P554950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</si>
  <si>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</si>
  <si>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</si>
  <si>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</si>
  <si>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</si>
  <si>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</si>
  <si>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</si>
  <si>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</si>
  <si>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</si>
  <si>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</si>
  <si>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</si>
  <si>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</si>
  <si>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</si>
  <si>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</si>
  <si>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</si>
  <si>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</si>
  <si>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</si>
  <si>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</si>
  <si>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</si>
  <si>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</si>
  <si>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</si>
  <si>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</si>
  <si>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</si>
  <si>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</si>
  <si>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</si>
  <si>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</si>
  <si>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</si>
  <si>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</si>
  <si>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</si>
  <si>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</si>
  <si>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</si>
  <si>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</si>
  <si>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</si>
  <si>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</si>
  <si>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</si>
  <si>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</si>
  <si>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</si>
  <si>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</si>
  <si>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</si>
  <si>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</si>
  <si>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</si>
  <si>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</si>
  <si>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</si>
  <si>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</si>
  <si>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</si>
  <si>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</si>
  <si>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</si>
  <si>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</si>
  <si>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</si>
  <si>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</si>
  <si>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</si>
  <si>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</si>
  <si>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</si>
  <si>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2730374303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</si>
  <si>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</si>
  <si>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</si>
  <si>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округов)</t>
  </si>
  <si>
    <t>133065505М</t>
  </si>
  <si>
    <t>151085505М</t>
  </si>
  <si>
    <t>184015505М</t>
  </si>
  <si>
    <t>291045505М</t>
  </si>
  <si>
    <t>15108Ц505М</t>
  </si>
  <si>
    <t>18401Ц505М</t>
  </si>
  <si>
    <t>29104Ц505М</t>
  </si>
  <si>
    <t>Резервные фонды исполнительных органов государственной власти субъекта Российской Федерации</t>
  </si>
  <si>
    <t>8800000704</t>
  </si>
  <si>
    <t>Создание виртуальных концертных залов</t>
  </si>
  <si>
    <t>151A354530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</si>
  <si>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</si>
  <si>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</si>
  <si>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</si>
  <si>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</si>
  <si>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</si>
  <si>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</si>
  <si>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Оказание содействия в подготовке и проведении общероссийского голосования, а также в информировании граждан Российской Федерации о такой подготовке</t>
  </si>
  <si>
    <t>880W009108</t>
  </si>
  <si>
    <t>141075505М</t>
  </si>
  <si>
    <t>142045505М</t>
  </si>
  <si>
    <t>184135505М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</si>
  <si>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</si>
  <si>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</si>
  <si>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Сводные данные о расходах бюджета Забайкальского края на предоставление межбюджетных трансфертов бюджетам муниципальных образований за I полугодие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</si>
</sst>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1" fillId="0" borderId="4" xfId="14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2" xfId="9" applyNumberFormat="1" applyFont="1" applyFill="1" applyAlignment="1" applyProtection="1">
      <alignment horizontal="center" vertical="center" shrinkToFit="1"/>
    </xf>
    <xf numFmtId="0" fontId="8" fillId="5" borderId="8" xfId="9" applyNumberFormat="1" applyFont="1" applyFill="1" applyBorder="1" applyAlignment="1" applyProtection="1">
      <alignment horizontal="center" vertical="center" shrinkToFit="1"/>
    </xf>
    <xf numFmtId="0" fontId="8" fillId="5" borderId="7" xfId="8" applyNumberFormat="1" applyFont="1" applyFill="1" applyBorder="1" applyAlignment="1" applyProtection="1">
      <alignment horizontal="center" vertical="center"/>
    </xf>
    <xf numFmtId="0" fontId="8" fillId="5" borderId="7" xfId="2" applyNumberFormat="1" applyFont="1" applyFill="1" applyBorder="1" applyAlignment="1" applyProtection="1">
      <alignment horizontal="center" vertical="center"/>
    </xf>
    <xf numFmtId="0" fontId="8" fillId="5" borderId="2" xfId="10" applyNumberFormat="1" applyFont="1" applyFill="1" applyAlignment="1" applyProtection="1">
      <alignment horizontal="left" vertical="center" wrapText="1"/>
    </xf>
    <xf numFmtId="49" fontId="8" fillId="5" borderId="2" xfId="10" applyFont="1" applyFill="1" applyAlignment="1" applyProtection="1">
      <alignment horizontal="center" vertical="center" wrapText="1"/>
    </xf>
    <xf numFmtId="0" fontId="9" fillId="5" borderId="2" xfId="10" applyNumberFormat="1" applyFont="1" applyFill="1" applyAlignment="1" applyProtection="1">
      <alignment horizontal="left" vertical="center" wrapText="1"/>
    </xf>
    <xf numFmtId="49" fontId="9" fillId="5" borderId="2" xfId="10" applyFont="1" applyFill="1" applyAlignment="1" applyProtection="1">
      <alignment horizontal="center" vertical="center" wrapText="1"/>
    </xf>
    <xf numFmtId="0" fontId="9" fillId="5" borderId="2" xfId="12" applyNumberFormat="1" applyFont="1" applyFill="1" applyAlignment="1" applyProtection="1">
      <alignment horizontal="left" vertical="center"/>
    </xf>
    <xf numFmtId="0" fontId="8" fillId="5" borderId="1" xfId="6" applyNumberFormat="1" applyFont="1" applyFill="1" applyAlignment="1" applyProtection="1">
      <alignment horizontal="center" vertical="center"/>
    </xf>
    <xf numFmtId="164" fontId="8" fillId="5" borderId="7" xfId="8" applyNumberFormat="1" applyFont="1" applyFill="1" applyBorder="1" applyAlignment="1" applyProtection="1">
      <alignment horizontal="center" vertical="center"/>
    </xf>
    <xf numFmtId="164" fontId="8" fillId="5" borderId="7" xfId="2" applyNumberFormat="1" applyFont="1" applyFill="1" applyBorder="1" applyAlignment="1" applyProtection="1">
      <alignment horizontal="center" vertical="center"/>
    </xf>
    <xf numFmtId="164" fontId="9" fillId="5" borderId="7" xfId="2" applyNumberFormat="1" applyFont="1" applyFill="1" applyBorder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2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49" fontId="9" fillId="0" borderId="2" xfId="10" applyFont="1" applyFill="1" applyAlignment="1" applyProtection="1">
      <alignment horizontal="left" vertical="center" wrapText="1"/>
    </xf>
    <xf numFmtId="49" fontId="8" fillId="0" borderId="2" xfId="10" applyFont="1" applyFill="1" applyAlignment="1" applyProtection="1">
      <alignment horizontal="left" vertical="center" wrapText="1"/>
    </xf>
    <xf numFmtId="164" fontId="9" fillId="0" borderId="7" xfId="8" applyNumberFormat="1" applyFont="1" applyFill="1" applyBorder="1" applyAlignment="1" applyProtection="1">
      <alignment horizontal="center" vertical="center"/>
    </xf>
    <xf numFmtId="0" fontId="8" fillId="0" borderId="2" xfId="10" applyNumberFormat="1" applyFont="1" applyFill="1" applyAlignment="1" applyProtection="1">
      <alignment horizontal="left" vertical="center" wrapText="1"/>
    </xf>
    <xf numFmtId="49" fontId="8" fillId="0" borderId="2" xfId="10" applyFont="1" applyFill="1" applyAlignment="1" applyProtection="1">
      <alignment horizontal="center" vertical="center" wrapText="1"/>
    </xf>
    <xf numFmtId="164" fontId="8" fillId="0" borderId="7" xfId="8" applyNumberFormat="1" applyFont="1" applyFill="1" applyBorder="1" applyAlignment="1" applyProtection="1">
      <alignment horizontal="center" vertical="center"/>
    </xf>
    <xf numFmtId="164" fontId="8" fillId="0" borderId="7" xfId="2" applyNumberFormat="1" applyFont="1" applyFill="1" applyBorder="1" applyAlignment="1" applyProtection="1">
      <alignment horizontal="center" vertical="center"/>
    </xf>
    <xf numFmtId="0" fontId="9" fillId="0" borderId="2" xfId="10" applyNumberFormat="1" applyFont="1" applyFill="1" applyAlignment="1" applyProtection="1">
      <alignment horizontal="left" vertical="center" wrapText="1"/>
    </xf>
    <xf numFmtId="49" fontId="9" fillId="0" borderId="2" xfId="10" applyFont="1" applyFill="1" applyAlignment="1" applyProtection="1">
      <alignment horizontal="center" vertical="center" wrapText="1"/>
    </xf>
    <xf numFmtId="164" fontId="9" fillId="0" borderId="7" xfId="2" applyNumberFormat="1" applyFont="1" applyFill="1" applyBorder="1" applyAlignment="1" applyProtection="1">
      <alignment horizontal="center" vertical="center"/>
    </xf>
    <xf numFmtId="0" fontId="8" fillId="0" borderId="9" xfId="10" applyNumberFormat="1" applyFont="1" applyFill="1" applyBorder="1" applyAlignment="1" applyProtection="1">
      <alignment horizontal="left" vertical="center" wrapText="1"/>
    </xf>
    <xf numFmtId="0" fontId="8" fillId="0" borderId="7" xfId="10" applyNumberFormat="1" applyFont="1" applyFill="1" applyBorder="1" applyAlignment="1" applyProtection="1">
      <alignment vertical="center" wrapText="1"/>
    </xf>
    <xf numFmtId="49" fontId="8" fillId="0" borderId="11" xfId="10" applyFont="1" applyFill="1" applyBorder="1" applyAlignment="1" applyProtection="1">
      <alignment horizontal="center" vertical="center" wrapText="1"/>
    </xf>
    <xf numFmtId="164" fontId="11" fillId="0" borderId="7" xfId="8" applyNumberFormat="1" applyFont="1" applyFill="1" applyBorder="1" applyAlignment="1" applyProtection="1">
      <alignment horizontal="center" vertical="center"/>
    </xf>
    <xf numFmtId="0" fontId="8" fillId="0" borderId="10" xfId="10" applyNumberFormat="1" applyFont="1" applyFill="1" applyBorder="1" applyAlignment="1" applyProtection="1">
      <alignment horizontal="left" vertical="center" wrapText="1"/>
    </xf>
    <xf numFmtId="49" fontId="8" fillId="0" borderId="6" xfId="10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0" xfId="10" applyNumberFormat="1" applyFont="1" applyFill="1" applyBorder="1" applyAlignment="1" applyProtection="1">
      <alignment horizontal="left" vertical="center" wrapText="1"/>
    </xf>
    <xf numFmtId="0" fontId="8" fillId="0" borderId="10" xfId="10" applyNumberFormat="1" applyFont="1" applyFill="1" applyBorder="1" applyAlignment="1" applyProtection="1">
      <alignment horizontal="center" vertical="center" wrapText="1"/>
    </xf>
    <xf numFmtId="165" fontId="8" fillId="0" borderId="10" xfId="10" applyNumberFormat="1" applyFont="1" applyFill="1" applyBorder="1" applyAlignment="1" applyProtection="1">
      <alignment horizontal="center" vertical="center" wrapText="1"/>
    </xf>
    <xf numFmtId="0" fontId="8" fillId="0" borderId="2" xfId="10" applyNumberFormat="1" applyFont="1" applyFill="1" applyAlignment="1" applyProtection="1">
      <alignment horizontal="center" vertical="center" wrapText="1"/>
    </xf>
    <xf numFmtId="165" fontId="8" fillId="0" borderId="2" xfId="10" applyNumberFormat="1" applyFont="1" applyFill="1" applyAlignment="1" applyProtection="1">
      <alignment horizontal="center" vertical="center" wrapText="1"/>
    </xf>
    <xf numFmtId="0" fontId="8" fillId="5" borderId="2" xfId="10" applyNumberFormat="1" applyFont="1" applyFill="1" applyAlignment="1" applyProtection="1">
      <alignment horizontal="center" vertical="center" wrapText="1"/>
    </xf>
    <xf numFmtId="0" fontId="8" fillId="5" borderId="9" xfId="10" applyNumberFormat="1" applyFont="1" applyFill="1" applyBorder="1" applyAlignment="1" applyProtection="1">
      <alignment horizontal="left" vertical="center" wrapText="1"/>
    </xf>
    <xf numFmtId="0" fontId="8" fillId="5" borderId="13" xfId="10" applyNumberFormat="1" applyFont="1" applyFill="1" applyBorder="1" applyAlignment="1" applyProtection="1">
      <alignment horizontal="left" vertical="center" wrapText="1"/>
    </xf>
    <xf numFmtId="0" fontId="8" fillId="5" borderId="10" xfId="10" applyNumberFormat="1" applyFont="1" applyFill="1" applyBorder="1" applyAlignment="1" applyProtection="1">
      <alignment horizontal="left" vertical="center" wrapText="1"/>
    </xf>
    <xf numFmtId="0" fontId="10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8" fillId="5" borderId="2" xfId="7" applyNumberFormat="1" applyFont="1" applyFill="1" applyAlignment="1" applyProtection="1">
      <alignment horizontal="center" vertical="center" wrapText="1"/>
    </xf>
    <xf numFmtId="0" fontId="8" fillId="5" borderId="2" xfId="7" applyFont="1" applyFill="1" applyAlignment="1" applyProtection="1">
      <alignment horizontal="center" vertical="center" wrapText="1"/>
      <protection locked="0"/>
    </xf>
    <xf numFmtId="0" fontId="8" fillId="5" borderId="9" xfId="7" applyFont="1" applyFill="1" applyBorder="1" applyAlignment="1" applyProtection="1">
      <alignment horizontal="center" vertical="center" wrapText="1"/>
      <protection locked="0"/>
    </xf>
    <xf numFmtId="0" fontId="8" fillId="0" borderId="9" xfId="10" applyNumberFormat="1" applyFont="1" applyFill="1" applyBorder="1" applyAlignment="1" applyProtection="1">
      <alignment horizontal="left" vertical="center" wrapText="1"/>
    </xf>
    <xf numFmtId="0" fontId="8" fillId="0" borderId="10" xfId="10" applyNumberFormat="1" applyFont="1" applyFill="1" applyBorder="1" applyAlignment="1" applyProtection="1">
      <alignment horizontal="left" vertical="center" wrapText="1"/>
    </xf>
    <xf numFmtId="0" fontId="8" fillId="0" borderId="12" xfId="10" applyNumberFormat="1" applyFont="1" applyFill="1" applyBorder="1" applyAlignment="1" applyProtection="1">
      <alignment horizontal="left" vertical="center" wrapText="1"/>
    </xf>
    <xf numFmtId="0" fontId="8" fillId="0" borderId="13" xfId="10" applyNumberFormat="1" applyFont="1" applyFill="1" applyBorder="1" applyAlignment="1" applyProtection="1">
      <alignment horizontal="left" vertical="center" wrapText="1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06"/>
  <sheetViews>
    <sheetView showGridLines="0" tabSelected="1" zoomScaleNormal="100" zoomScaleSheetLayoutView="100" workbookViewId="0">
      <pane ySplit="6" topLeftCell="A7" activePane="bottomLeft" state="frozen"/>
      <selection pane="bottomLeft" activeCell="F67" sqref="F67"/>
    </sheetView>
  </sheetViews>
  <sheetFormatPr defaultColWidth="9.140625" defaultRowHeight="15" outlineLevelRow="1" x14ac:dyDescent="0.25"/>
  <cols>
    <col min="1" max="1" width="49.85546875" style="2" customWidth="1"/>
    <col min="2" max="2" width="20.7109375" style="2" customWidth="1"/>
    <col min="3" max="3" width="18.5703125" style="24" customWidth="1"/>
    <col min="4" max="4" width="18.5703125" style="25" customWidth="1"/>
    <col min="5" max="5" width="21" style="24" customWidth="1"/>
    <col min="6" max="6" width="19.140625" style="24" customWidth="1"/>
    <col min="7" max="7" width="0.140625" style="2" customWidth="1"/>
    <col min="8" max="16384" width="9.140625" style="2"/>
  </cols>
  <sheetData>
    <row r="1" spans="1:7" ht="46.5" customHeight="1" x14ac:dyDescent="0.25">
      <c r="A1" s="57" t="s">
        <v>176</v>
      </c>
      <c r="B1" s="57"/>
      <c r="C1" s="57"/>
      <c r="D1" s="57"/>
      <c r="E1" s="57"/>
      <c r="F1" s="57"/>
      <c r="G1" s="1"/>
    </row>
    <row r="2" spans="1:7" ht="15.75" x14ac:dyDescent="0.25">
      <c r="A2" s="58"/>
      <c r="B2" s="58"/>
      <c r="C2" s="58"/>
      <c r="D2" s="58"/>
      <c r="E2" s="58"/>
      <c r="F2" s="58"/>
      <c r="G2" s="1"/>
    </row>
    <row r="3" spans="1:7" x14ac:dyDescent="0.25">
      <c r="A3" s="59"/>
      <c r="B3" s="60"/>
      <c r="C3" s="17"/>
      <c r="D3" s="17"/>
      <c r="E3" s="17"/>
      <c r="F3" s="17" t="s">
        <v>20</v>
      </c>
      <c r="G3" s="3"/>
    </row>
    <row r="4" spans="1:7" ht="15" customHeight="1" x14ac:dyDescent="0.25">
      <c r="A4" s="61" t="s">
        <v>0</v>
      </c>
      <c r="B4" s="61" t="s">
        <v>21</v>
      </c>
      <c r="C4" s="61" t="s">
        <v>1</v>
      </c>
      <c r="D4" s="61" t="s">
        <v>2</v>
      </c>
      <c r="E4" s="61" t="s">
        <v>23</v>
      </c>
      <c r="F4" s="61" t="s">
        <v>3</v>
      </c>
      <c r="G4" s="4"/>
    </row>
    <row r="5" spans="1:7" ht="17.25" customHeight="1" x14ac:dyDescent="0.25">
      <c r="A5" s="62"/>
      <c r="B5" s="62"/>
      <c r="C5" s="63"/>
      <c r="D5" s="63"/>
      <c r="E5" s="63"/>
      <c r="F5" s="63"/>
      <c r="G5" s="4"/>
    </row>
    <row r="6" spans="1:7" x14ac:dyDescent="0.25">
      <c r="A6" s="8">
        <v>1</v>
      </c>
      <c r="B6" s="9">
        <v>2</v>
      </c>
      <c r="C6" s="10">
        <v>3</v>
      </c>
      <c r="D6" s="10">
        <v>4</v>
      </c>
      <c r="E6" s="11">
        <v>5</v>
      </c>
      <c r="F6" s="11">
        <v>6</v>
      </c>
      <c r="G6" s="4"/>
    </row>
    <row r="7" spans="1:7" s="30" customFormat="1" x14ac:dyDescent="0.25">
      <c r="A7" s="31" t="s">
        <v>4</v>
      </c>
      <c r="B7" s="32"/>
      <c r="C7" s="33">
        <f>SUM(C8:C10)</f>
        <v>4689492.0999999996</v>
      </c>
      <c r="D7" s="33">
        <f>SUM(D8:D10)</f>
        <v>4671713.3</v>
      </c>
      <c r="E7" s="33">
        <f>SUM(E8:E10)</f>
        <v>4671713.3</v>
      </c>
      <c r="F7" s="33">
        <f>SUM(F8:F10)</f>
        <v>3416125.378</v>
      </c>
      <c r="G7" s="29"/>
    </row>
    <row r="8" spans="1:7" s="30" customFormat="1" ht="25.5" outlineLevel="1" x14ac:dyDescent="0.25">
      <c r="A8" s="34" t="s">
        <v>5</v>
      </c>
      <c r="B8" s="35" t="s">
        <v>6</v>
      </c>
      <c r="C8" s="36">
        <f>4490537100/1000</f>
        <v>4490537.0999999996</v>
      </c>
      <c r="D8" s="37">
        <f>4490537100/1000</f>
        <v>4490537.0999999996</v>
      </c>
      <c r="E8" s="37">
        <v>4490537.0999999996</v>
      </c>
      <c r="F8" s="37">
        <v>3400755.378</v>
      </c>
      <c r="G8" s="29"/>
    </row>
    <row r="9" spans="1:7" s="30" customFormat="1" ht="38.25" outlineLevel="1" x14ac:dyDescent="0.25">
      <c r="A9" s="34" t="s">
        <v>7</v>
      </c>
      <c r="B9" s="35" t="s">
        <v>8</v>
      </c>
      <c r="C9" s="36">
        <f>168214000/1000</f>
        <v>168214</v>
      </c>
      <c r="D9" s="37">
        <f>150435200/1000</f>
        <v>150435.20000000001</v>
      </c>
      <c r="E9" s="37">
        <v>150435.20000000001</v>
      </c>
      <c r="F9" s="37">
        <v>0</v>
      </c>
      <c r="G9" s="29"/>
    </row>
    <row r="10" spans="1:7" s="30" customFormat="1" ht="38.25" outlineLevel="1" x14ac:dyDescent="0.25">
      <c r="A10" s="34" t="s">
        <v>9</v>
      </c>
      <c r="B10" s="35" t="s">
        <v>10</v>
      </c>
      <c r="C10" s="36">
        <f>30741000/1000</f>
        <v>30741</v>
      </c>
      <c r="D10" s="37">
        <f>30741000/1000</f>
        <v>30741</v>
      </c>
      <c r="E10" s="37">
        <v>30741</v>
      </c>
      <c r="F10" s="37">
        <v>15370</v>
      </c>
      <c r="G10" s="29"/>
    </row>
    <row r="11" spans="1:7" s="30" customFormat="1" x14ac:dyDescent="0.25">
      <c r="A11" s="38" t="s">
        <v>11</v>
      </c>
      <c r="B11" s="39"/>
      <c r="C11" s="40">
        <f>SUM(C12:C53)</f>
        <v>2922639.9800000004</v>
      </c>
      <c r="D11" s="40">
        <f>SUM(D12:D53)</f>
        <v>4571549.9379599998</v>
      </c>
      <c r="E11" s="40">
        <f>SUM(E12:E53)</f>
        <v>4852246.4379600007</v>
      </c>
      <c r="F11" s="40">
        <f>SUM(F12:F53)</f>
        <v>798936.10000000009</v>
      </c>
      <c r="G11" s="29"/>
    </row>
    <row r="12" spans="1:7" s="30" customFormat="1" ht="57.6" customHeight="1" outlineLevel="1" x14ac:dyDescent="0.25">
      <c r="A12" s="34" t="s">
        <v>34</v>
      </c>
      <c r="B12" s="35" t="s">
        <v>35</v>
      </c>
      <c r="C12" s="36">
        <v>0</v>
      </c>
      <c r="D12" s="37">
        <f>606953100/1000</f>
        <v>606953.1</v>
      </c>
      <c r="E12" s="37">
        <v>606953.1</v>
      </c>
      <c r="F12" s="37">
        <v>1233.2</v>
      </c>
      <c r="G12" s="29"/>
    </row>
    <row r="13" spans="1:7" s="30" customFormat="1" ht="35.450000000000003" customHeight="1" outlineLevel="1" x14ac:dyDescent="0.25">
      <c r="A13" s="34" t="s">
        <v>36</v>
      </c>
      <c r="B13" s="35" t="s">
        <v>37</v>
      </c>
      <c r="C13" s="36">
        <v>0</v>
      </c>
      <c r="D13" s="37">
        <f>3266000/1000</f>
        <v>3266</v>
      </c>
      <c r="E13" s="37">
        <v>3266</v>
      </c>
      <c r="F13" s="37">
        <v>0</v>
      </c>
      <c r="G13" s="29"/>
    </row>
    <row r="14" spans="1:7" s="30" customFormat="1" ht="28.5" customHeight="1" outlineLevel="1" x14ac:dyDescent="0.25">
      <c r="A14" s="34" t="s">
        <v>38</v>
      </c>
      <c r="B14" s="35" t="s">
        <v>39</v>
      </c>
      <c r="C14" s="36">
        <f>143911100/1000</f>
        <v>143911.1</v>
      </c>
      <c r="D14" s="37">
        <f>143911079.07/1000</f>
        <v>143911.07907000001</v>
      </c>
      <c r="E14" s="37">
        <v>143911.07907000001</v>
      </c>
      <c r="F14" s="37">
        <v>17378.099999999999</v>
      </c>
      <c r="G14" s="29"/>
    </row>
    <row r="15" spans="1:7" s="30" customFormat="1" ht="36" customHeight="1" outlineLevel="1" x14ac:dyDescent="0.25">
      <c r="A15" s="34" t="s">
        <v>40</v>
      </c>
      <c r="B15" s="35" t="s">
        <v>30</v>
      </c>
      <c r="C15" s="36">
        <f>7141500/1000</f>
        <v>7141.5</v>
      </c>
      <c r="D15" s="37">
        <f>7141500/1000</f>
        <v>7141.5</v>
      </c>
      <c r="E15" s="37">
        <v>7141.5</v>
      </c>
      <c r="F15" s="37">
        <v>0</v>
      </c>
      <c r="G15" s="29"/>
    </row>
    <row r="16" spans="1:7" s="30" customFormat="1" ht="41.45" customHeight="1" outlineLevel="1" x14ac:dyDescent="0.25">
      <c r="A16" s="34" t="s">
        <v>41</v>
      </c>
      <c r="B16" s="35" t="s">
        <v>17</v>
      </c>
      <c r="C16" s="36">
        <f>76077600/1000</f>
        <v>76077.600000000006</v>
      </c>
      <c r="D16" s="37">
        <f>76077600/1000</f>
        <v>76077.600000000006</v>
      </c>
      <c r="E16" s="37">
        <v>76077.600000000006</v>
      </c>
      <c r="F16" s="37">
        <v>76077.600000000006</v>
      </c>
      <c r="G16" s="29"/>
    </row>
    <row r="17" spans="1:7" s="30" customFormat="1" ht="51" outlineLevel="1" x14ac:dyDescent="0.25">
      <c r="A17" s="34" t="s">
        <v>42</v>
      </c>
      <c r="B17" s="35" t="s">
        <v>43</v>
      </c>
      <c r="C17" s="36">
        <f>28596100/1000</f>
        <v>28596.1</v>
      </c>
      <c r="D17" s="37">
        <f>28596100/1000</f>
        <v>28596.1</v>
      </c>
      <c r="E17" s="37">
        <v>28596.1</v>
      </c>
      <c r="F17" s="37">
        <v>0</v>
      </c>
      <c r="G17" s="29"/>
    </row>
    <row r="18" spans="1:7" s="30" customFormat="1" ht="32.450000000000003" customHeight="1" outlineLevel="1" x14ac:dyDescent="0.25">
      <c r="A18" s="34" t="s">
        <v>44</v>
      </c>
      <c r="B18" s="35" t="s">
        <v>45</v>
      </c>
      <c r="C18" s="36">
        <v>0</v>
      </c>
      <c r="D18" s="37">
        <f>8914100/1000</f>
        <v>8914.1</v>
      </c>
      <c r="E18" s="37">
        <v>8914.1</v>
      </c>
      <c r="F18" s="37">
        <v>0</v>
      </c>
      <c r="G18" s="29"/>
    </row>
    <row r="19" spans="1:7" s="30" customFormat="1" ht="46.9" customHeight="1" outlineLevel="1" x14ac:dyDescent="0.25">
      <c r="A19" s="34" t="s">
        <v>46</v>
      </c>
      <c r="B19" s="35" t="s">
        <v>16</v>
      </c>
      <c r="C19" s="36">
        <f>100185000/1000</f>
        <v>100185</v>
      </c>
      <c r="D19" s="37">
        <f>109185000/1000</f>
        <v>109185</v>
      </c>
      <c r="E19" s="37">
        <v>109185</v>
      </c>
      <c r="F19" s="37">
        <v>3880.3</v>
      </c>
      <c r="G19" s="29"/>
    </row>
    <row r="20" spans="1:7" s="30" customFormat="1" ht="30" customHeight="1" outlineLevel="1" x14ac:dyDescent="0.25">
      <c r="A20" s="34" t="s">
        <v>47</v>
      </c>
      <c r="B20" s="35" t="s">
        <v>48</v>
      </c>
      <c r="C20" s="36">
        <v>0</v>
      </c>
      <c r="D20" s="37">
        <f>133034787.24/1000</f>
        <v>133034.78724000001</v>
      </c>
      <c r="E20" s="37">
        <v>133034.78724000001</v>
      </c>
      <c r="F20" s="37">
        <v>0</v>
      </c>
      <c r="G20" s="29"/>
    </row>
    <row r="21" spans="1:7" s="30" customFormat="1" ht="51" customHeight="1" outlineLevel="1" x14ac:dyDescent="0.25">
      <c r="A21" s="34" t="s">
        <v>49</v>
      </c>
      <c r="B21" s="35" t="s">
        <v>50</v>
      </c>
      <c r="C21" s="36">
        <v>0</v>
      </c>
      <c r="D21" s="37">
        <f>374240/1000</f>
        <v>374.24</v>
      </c>
      <c r="E21" s="37">
        <v>374.24</v>
      </c>
      <c r="F21" s="37">
        <v>0</v>
      </c>
      <c r="G21" s="29"/>
    </row>
    <row r="22" spans="1:7" s="30" customFormat="1" ht="43.9" customHeight="1" outlineLevel="1" x14ac:dyDescent="0.25">
      <c r="A22" s="34" t="s">
        <v>51</v>
      </c>
      <c r="B22" s="35" t="s">
        <v>26</v>
      </c>
      <c r="C22" s="36">
        <f>31581600/1000</f>
        <v>31581.599999999999</v>
      </c>
      <c r="D22" s="37">
        <f>31581595.75/1000</f>
        <v>31581.59575</v>
      </c>
      <c r="E22" s="37">
        <v>31581.59575</v>
      </c>
      <c r="F22" s="37">
        <v>20347.7</v>
      </c>
      <c r="G22" s="29"/>
    </row>
    <row r="23" spans="1:7" s="30" customFormat="1" ht="40.9" customHeight="1" outlineLevel="1" x14ac:dyDescent="0.25">
      <c r="A23" s="34" t="s">
        <v>52</v>
      </c>
      <c r="B23" s="35" t="s">
        <v>12</v>
      </c>
      <c r="C23" s="36">
        <f>80000000/1000</f>
        <v>80000</v>
      </c>
      <c r="D23" s="37">
        <f>80000000/1000</f>
        <v>80000</v>
      </c>
      <c r="E23" s="37">
        <v>80000</v>
      </c>
      <c r="F23" s="37">
        <v>32642.9</v>
      </c>
      <c r="G23" s="29"/>
    </row>
    <row r="24" spans="1:7" s="30" customFormat="1" ht="42" customHeight="1" outlineLevel="1" x14ac:dyDescent="0.25">
      <c r="A24" s="34" t="s">
        <v>24</v>
      </c>
      <c r="B24" s="35" t="s">
        <v>25</v>
      </c>
      <c r="C24" s="36">
        <f>11000000/1000</f>
        <v>11000</v>
      </c>
      <c r="D24" s="37">
        <f>11000000/1000</f>
        <v>11000</v>
      </c>
      <c r="E24" s="37">
        <v>11000</v>
      </c>
      <c r="F24" s="37">
        <v>0</v>
      </c>
      <c r="G24" s="29"/>
    </row>
    <row r="25" spans="1:7" s="30" customFormat="1" outlineLevel="1" x14ac:dyDescent="0.25">
      <c r="A25" s="64" t="s">
        <v>53</v>
      </c>
      <c r="B25" s="35" t="s">
        <v>31</v>
      </c>
      <c r="C25" s="36">
        <f>2158500/1000</f>
        <v>2158.5</v>
      </c>
      <c r="D25" s="37">
        <f>2158473.95/1000</f>
        <v>2158.4739500000001</v>
      </c>
      <c r="E25" s="37">
        <v>2158.4739500000001</v>
      </c>
      <c r="F25" s="37">
        <v>1252.5999999999999</v>
      </c>
      <c r="G25" s="29"/>
    </row>
    <row r="26" spans="1:7" s="30" customFormat="1" outlineLevel="1" x14ac:dyDescent="0.25">
      <c r="A26" s="65"/>
      <c r="B26" s="35" t="s">
        <v>32</v>
      </c>
      <c r="C26" s="36">
        <f>2050000/1000</f>
        <v>2050</v>
      </c>
      <c r="D26" s="37">
        <f>2050000/1000</f>
        <v>2050</v>
      </c>
      <c r="E26" s="37">
        <v>2050</v>
      </c>
      <c r="F26" s="37">
        <v>1150</v>
      </c>
      <c r="G26" s="29"/>
    </row>
    <row r="27" spans="1:7" s="30" customFormat="1" ht="51" outlineLevel="1" x14ac:dyDescent="0.25">
      <c r="A27" s="34" t="s">
        <v>54</v>
      </c>
      <c r="B27" s="35" t="s">
        <v>29</v>
      </c>
      <c r="C27" s="36">
        <f>2835000/1000</f>
        <v>2835</v>
      </c>
      <c r="D27" s="36">
        <f>2835000/1000</f>
        <v>2835</v>
      </c>
      <c r="E27" s="37">
        <v>2835</v>
      </c>
      <c r="F27" s="37">
        <v>2835</v>
      </c>
      <c r="G27" s="29"/>
    </row>
    <row r="28" spans="1:7" s="30" customFormat="1" ht="38.25" outlineLevel="1" x14ac:dyDescent="0.25">
      <c r="A28" s="34" t="s">
        <v>55</v>
      </c>
      <c r="B28" s="35" t="s">
        <v>33</v>
      </c>
      <c r="C28" s="36">
        <f>1476700/1000</f>
        <v>1476.7</v>
      </c>
      <c r="D28" s="37">
        <f>1476702.13/1000</f>
        <v>1476.7021299999999</v>
      </c>
      <c r="E28" s="37">
        <v>1476.7021299999999</v>
      </c>
      <c r="F28" s="37">
        <v>0</v>
      </c>
      <c r="G28" s="29"/>
    </row>
    <row r="29" spans="1:7" s="30" customFormat="1" ht="21.6" customHeight="1" outlineLevel="1" x14ac:dyDescent="0.25">
      <c r="A29" s="41" t="s">
        <v>56</v>
      </c>
      <c r="B29" s="35" t="s">
        <v>57</v>
      </c>
      <c r="C29" s="36">
        <f>103853000/1000</f>
        <v>103853</v>
      </c>
      <c r="D29" s="37">
        <f>108786400/1000</f>
        <v>108786.4</v>
      </c>
      <c r="E29" s="37">
        <v>108786.4</v>
      </c>
      <c r="F29" s="37">
        <v>18244</v>
      </c>
      <c r="G29" s="29"/>
    </row>
    <row r="30" spans="1:7" s="30" customFormat="1" ht="30" customHeight="1" outlineLevel="1" x14ac:dyDescent="0.25">
      <c r="A30" s="42" t="s">
        <v>58</v>
      </c>
      <c r="B30" s="43" t="s">
        <v>59</v>
      </c>
      <c r="C30" s="36">
        <f>195607200/1000</f>
        <v>195607.2</v>
      </c>
      <c r="D30" s="37">
        <v>195607.2</v>
      </c>
      <c r="E30" s="37">
        <v>268743.59999999998</v>
      </c>
      <c r="F30" s="37">
        <v>10578.4</v>
      </c>
      <c r="G30" s="29"/>
    </row>
    <row r="31" spans="1:7" s="30" customFormat="1" ht="51" outlineLevel="1" x14ac:dyDescent="0.25">
      <c r="A31" s="42" t="s">
        <v>60</v>
      </c>
      <c r="B31" s="43" t="s">
        <v>61</v>
      </c>
      <c r="C31" s="36">
        <v>0</v>
      </c>
      <c r="D31" s="37">
        <f>68062500/1000</f>
        <v>68062.5</v>
      </c>
      <c r="E31" s="37">
        <v>68062.5</v>
      </c>
      <c r="F31" s="37">
        <v>0</v>
      </c>
      <c r="G31" s="29"/>
    </row>
    <row r="32" spans="1:7" s="30" customFormat="1" ht="102" outlineLevel="1" x14ac:dyDescent="0.25">
      <c r="A32" s="42" t="s">
        <v>62</v>
      </c>
      <c r="B32" s="43" t="s">
        <v>15</v>
      </c>
      <c r="C32" s="36">
        <f>41508300/1000</f>
        <v>41508.300000000003</v>
      </c>
      <c r="D32" s="37">
        <f>41508300/1000</f>
        <v>41508.300000000003</v>
      </c>
      <c r="E32" s="37">
        <v>41508.300000000003</v>
      </c>
      <c r="F32" s="37">
        <v>21182.1</v>
      </c>
      <c r="G32" s="29"/>
    </row>
    <row r="33" spans="1:7" s="30" customFormat="1" ht="26.45" customHeight="1" outlineLevel="1" x14ac:dyDescent="0.25">
      <c r="A33" s="66" t="s">
        <v>63</v>
      </c>
      <c r="B33" s="35" t="s">
        <v>64</v>
      </c>
      <c r="C33" s="36">
        <f>17529469/1000</f>
        <v>17529.469000000001</v>
      </c>
      <c r="D33" s="37">
        <f>17529468.09/1000</f>
        <v>17529.468089999998</v>
      </c>
      <c r="E33" s="37">
        <v>17529.468089999998</v>
      </c>
      <c r="F33" s="37">
        <v>17529.5</v>
      </c>
      <c r="G33" s="29"/>
    </row>
    <row r="34" spans="1:7" s="30" customFormat="1" ht="26.45" customHeight="1" outlineLevel="1" x14ac:dyDescent="0.25">
      <c r="A34" s="67"/>
      <c r="B34" s="35" t="s">
        <v>65</v>
      </c>
      <c r="C34" s="36">
        <f>116490/1000</f>
        <v>116.49</v>
      </c>
      <c r="D34" s="37">
        <v>0</v>
      </c>
      <c r="E34" s="37">
        <v>0</v>
      </c>
      <c r="F34" s="37">
        <v>0</v>
      </c>
      <c r="G34" s="29"/>
    </row>
    <row r="35" spans="1:7" s="30" customFormat="1" ht="26.45" customHeight="1" outlineLevel="1" x14ac:dyDescent="0.25">
      <c r="A35" s="67"/>
      <c r="B35" s="35" t="s">
        <v>66</v>
      </c>
      <c r="C35" s="36">
        <f>42384681/1000</f>
        <v>42384.680999999997</v>
      </c>
      <c r="D35" s="37">
        <f>42384681/1000</f>
        <v>42384.680999999997</v>
      </c>
      <c r="E35" s="37">
        <v>42384.680999999997</v>
      </c>
      <c r="F35" s="37">
        <v>20835.5</v>
      </c>
      <c r="G35" s="29"/>
    </row>
    <row r="36" spans="1:7" s="30" customFormat="1" ht="21" customHeight="1" outlineLevel="1" x14ac:dyDescent="0.25">
      <c r="A36" s="65"/>
      <c r="B36" s="35" t="s">
        <v>67</v>
      </c>
      <c r="C36" s="36">
        <f>54058540/1000</f>
        <v>54058.54</v>
      </c>
      <c r="D36" s="37">
        <f>54058540/1000</f>
        <v>54058.54</v>
      </c>
      <c r="E36" s="37">
        <v>54058.54</v>
      </c>
      <c r="F36" s="37">
        <v>1701.6</v>
      </c>
      <c r="G36" s="29"/>
    </row>
    <row r="37" spans="1:7" s="30" customFormat="1" ht="37.15" customHeight="1" outlineLevel="1" x14ac:dyDescent="0.25">
      <c r="A37" s="41" t="s">
        <v>68</v>
      </c>
      <c r="B37" s="35" t="s">
        <v>69</v>
      </c>
      <c r="C37" s="36">
        <v>0</v>
      </c>
      <c r="D37" s="37">
        <f>247243600/1000</f>
        <v>247243.6</v>
      </c>
      <c r="E37" s="37">
        <v>247243.6</v>
      </c>
      <c r="F37" s="37">
        <v>0</v>
      </c>
      <c r="G37" s="29"/>
    </row>
    <row r="38" spans="1:7" s="30" customFormat="1" ht="25.5" outlineLevel="1" x14ac:dyDescent="0.25">
      <c r="A38" s="42" t="s">
        <v>70</v>
      </c>
      <c r="B38" s="43" t="s">
        <v>28</v>
      </c>
      <c r="C38" s="36">
        <f>220033600/1000</f>
        <v>220033.6</v>
      </c>
      <c r="D38" s="37">
        <f>220033600/1000</f>
        <v>220033.6</v>
      </c>
      <c r="E38" s="37">
        <v>220033.6</v>
      </c>
      <c r="F38" s="37">
        <v>218898.2</v>
      </c>
      <c r="G38" s="29"/>
    </row>
    <row r="39" spans="1:7" s="30" customFormat="1" ht="38.25" outlineLevel="1" x14ac:dyDescent="0.25">
      <c r="A39" s="42" t="s">
        <v>71</v>
      </c>
      <c r="B39" s="43" t="s">
        <v>72</v>
      </c>
      <c r="C39" s="36">
        <f>3266700/1000</f>
        <v>3266.7</v>
      </c>
      <c r="D39" s="37">
        <f>3266700/1000</f>
        <v>3266.7</v>
      </c>
      <c r="E39" s="37">
        <v>3266.7</v>
      </c>
      <c r="F39" s="37">
        <v>0</v>
      </c>
      <c r="G39" s="29"/>
    </row>
    <row r="40" spans="1:7" s="30" customFormat="1" ht="38.25" outlineLevel="1" x14ac:dyDescent="0.25">
      <c r="A40" s="42" t="s">
        <v>73</v>
      </c>
      <c r="B40" s="43" t="s">
        <v>74</v>
      </c>
      <c r="C40" s="36">
        <f>1732300/1000</f>
        <v>1732.3</v>
      </c>
      <c r="D40" s="37">
        <f>1732340.43/1000</f>
        <v>1732.34043</v>
      </c>
      <c r="E40" s="37">
        <v>1732.34043</v>
      </c>
      <c r="F40" s="37">
        <v>0</v>
      </c>
      <c r="G40" s="29"/>
    </row>
    <row r="41" spans="1:7" s="30" customFormat="1" ht="25.5" outlineLevel="1" x14ac:dyDescent="0.25">
      <c r="A41" s="42" t="s">
        <v>75</v>
      </c>
      <c r="B41" s="43" t="s">
        <v>76</v>
      </c>
      <c r="C41" s="44">
        <f>298379500/1000</f>
        <v>298379.5</v>
      </c>
      <c r="D41" s="37">
        <v>304468.90000000002</v>
      </c>
      <c r="E41" s="37">
        <v>339515.5</v>
      </c>
      <c r="F41" s="37">
        <v>24343.9</v>
      </c>
      <c r="G41" s="29"/>
    </row>
    <row r="42" spans="1:7" s="30" customFormat="1" ht="42.75" customHeight="1" outlineLevel="1" x14ac:dyDescent="0.25">
      <c r="A42" s="45" t="s">
        <v>77</v>
      </c>
      <c r="B42" s="35" t="s">
        <v>78</v>
      </c>
      <c r="C42" s="36">
        <f>42750200/1000</f>
        <v>42750.2</v>
      </c>
      <c r="D42" s="37">
        <f>42750200/1000</f>
        <v>42750.2</v>
      </c>
      <c r="E42" s="37">
        <v>42750.2</v>
      </c>
      <c r="F42" s="37">
        <v>2869.9</v>
      </c>
      <c r="G42" s="29"/>
    </row>
    <row r="43" spans="1:7" s="30" customFormat="1" ht="68.25" customHeight="1" outlineLevel="1" x14ac:dyDescent="0.25">
      <c r="A43" s="48" t="s">
        <v>165</v>
      </c>
      <c r="B43" s="49" t="s">
        <v>166</v>
      </c>
      <c r="C43" s="50">
        <v>0</v>
      </c>
      <c r="D43" s="37">
        <v>0</v>
      </c>
      <c r="E43" s="37">
        <v>355642.9</v>
      </c>
      <c r="F43" s="37">
        <v>0</v>
      </c>
      <c r="G43" s="29"/>
    </row>
    <row r="44" spans="1:7" s="30" customFormat="1" ht="59.45" customHeight="1" outlineLevel="1" x14ac:dyDescent="0.25">
      <c r="A44" s="34" t="s">
        <v>79</v>
      </c>
      <c r="B44" s="35" t="s">
        <v>80</v>
      </c>
      <c r="C44" s="36">
        <f>459478800/1000</f>
        <v>459478.8</v>
      </c>
      <c r="D44" s="36">
        <v>818642.4</v>
      </c>
      <c r="E44" s="37">
        <v>635513</v>
      </c>
      <c r="F44" s="37">
        <v>30324.799999999999</v>
      </c>
      <c r="G44" s="29"/>
    </row>
    <row r="45" spans="1:7" s="30" customFormat="1" ht="21" customHeight="1" outlineLevel="1" x14ac:dyDescent="0.25">
      <c r="A45" s="41" t="s">
        <v>81</v>
      </c>
      <c r="B45" s="35" t="s">
        <v>82</v>
      </c>
      <c r="C45" s="36">
        <f>23815000/1000</f>
        <v>23815</v>
      </c>
      <c r="D45" s="37">
        <f>13264900/1000</f>
        <v>13264.9</v>
      </c>
      <c r="E45" s="37">
        <v>13264.9</v>
      </c>
      <c r="F45" s="37">
        <v>0</v>
      </c>
      <c r="G45" s="29"/>
    </row>
    <row r="46" spans="1:7" s="30" customFormat="1" ht="76.5" outlineLevel="1" x14ac:dyDescent="0.25">
      <c r="A46" s="42" t="s">
        <v>83</v>
      </c>
      <c r="B46" s="43" t="s">
        <v>84</v>
      </c>
      <c r="C46" s="36">
        <f>498975400/1000</f>
        <v>498975.4</v>
      </c>
      <c r="D46" s="37">
        <f>498975400/1000</f>
        <v>498975.4</v>
      </c>
      <c r="E46" s="37">
        <v>498975.4</v>
      </c>
      <c r="F46" s="37">
        <v>250673.1</v>
      </c>
      <c r="G46" s="29"/>
    </row>
    <row r="47" spans="1:7" s="30" customFormat="1" ht="51" outlineLevel="1" x14ac:dyDescent="0.25">
      <c r="A47" s="42" t="s">
        <v>27</v>
      </c>
      <c r="B47" s="43" t="s">
        <v>85</v>
      </c>
      <c r="C47" s="36">
        <f>68062500/1000</f>
        <v>68062.5</v>
      </c>
      <c r="D47" s="37">
        <v>0</v>
      </c>
      <c r="E47" s="37">
        <v>0</v>
      </c>
      <c r="F47" s="37">
        <v>0</v>
      </c>
      <c r="G47" s="29"/>
    </row>
    <row r="48" spans="1:7" s="30" customFormat="1" ht="51" outlineLevel="1" x14ac:dyDescent="0.25">
      <c r="A48" s="42" t="s">
        <v>86</v>
      </c>
      <c r="B48" s="43" t="s">
        <v>87</v>
      </c>
      <c r="C48" s="36">
        <f>4100000/1000</f>
        <v>4100</v>
      </c>
      <c r="D48" s="37">
        <f>4100000/1000</f>
        <v>4100</v>
      </c>
      <c r="E48" s="37">
        <v>4100</v>
      </c>
      <c r="F48" s="37">
        <v>0</v>
      </c>
      <c r="G48" s="29"/>
    </row>
    <row r="49" spans="1:7" s="30" customFormat="1" ht="55.15" customHeight="1" outlineLevel="1" x14ac:dyDescent="0.25">
      <c r="A49" s="42" t="s">
        <v>88</v>
      </c>
      <c r="B49" s="43" t="s">
        <v>89</v>
      </c>
      <c r="C49" s="36">
        <f>57000000/1000</f>
        <v>57000</v>
      </c>
      <c r="D49" s="37">
        <f>57000000/1000</f>
        <v>57000</v>
      </c>
      <c r="E49" s="37">
        <v>57000</v>
      </c>
      <c r="F49" s="37">
        <v>0</v>
      </c>
      <c r="G49" s="29"/>
    </row>
    <row r="50" spans="1:7" s="30" customFormat="1" ht="93" customHeight="1" outlineLevel="1" x14ac:dyDescent="0.25">
      <c r="A50" s="42" t="s">
        <v>90</v>
      </c>
      <c r="B50" s="43" t="s">
        <v>13</v>
      </c>
      <c r="C50" s="36">
        <f>63477000/1000</f>
        <v>63477</v>
      </c>
      <c r="D50" s="37">
        <f>63477000/1000</f>
        <v>63477</v>
      </c>
      <c r="E50" s="37">
        <v>63477</v>
      </c>
      <c r="F50" s="37">
        <v>0</v>
      </c>
      <c r="G50" s="29"/>
    </row>
    <row r="51" spans="1:7" s="30" customFormat="1" ht="44.45" customHeight="1" outlineLevel="1" x14ac:dyDescent="0.25">
      <c r="A51" s="42" t="s">
        <v>91</v>
      </c>
      <c r="B51" s="43" t="s">
        <v>92</v>
      </c>
      <c r="C51" s="36">
        <v>0</v>
      </c>
      <c r="D51" s="37">
        <f>10550100/1000</f>
        <v>10550.1</v>
      </c>
      <c r="E51" s="37">
        <v>10550.1</v>
      </c>
      <c r="F51" s="37">
        <v>0</v>
      </c>
      <c r="G51" s="29"/>
    </row>
    <row r="52" spans="1:7" s="30" customFormat="1" ht="71.45" customHeight="1" outlineLevel="1" x14ac:dyDescent="0.25">
      <c r="A52" s="45" t="s">
        <v>93</v>
      </c>
      <c r="B52" s="35" t="s">
        <v>14</v>
      </c>
      <c r="C52" s="36">
        <f>216545200/1000</f>
        <v>216545.2</v>
      </c>
      <c r="D52" s="37">
        <f>486599420.3/1000</f>
        <v>486599.4203</v>
      </c>
      <c r="E52" s="37">
        <v>486599.4203</v>
      </c>
      <c r="F52" s="37">
        <v>15910</v>
      </c>
      <c r="G52" s="29"/>
    </row>
    <row r="53" spans="1:7" s="30" customFormat="1" ht="44.45" customHeight="1" outlineLevel="1" x14ac:dyDescent="0.25">
      <c r="A53" s="34" t="s">
        <v>94</v>
      </c>
      <c r="B53" s="35" t="s">
        <v>95</v>
      </c>
      <c r="C53" s="36">
        <f>22953000/1000</f>
        <v>22953</v>
      </c>
      <c r="D53" s="37">
        <f>22953010/1000</f>
        <v>22953.01</v>
      </c>
      <c r="E53" s="37">
        <v>22953.01</v>
      </c>
      <c r="F53" s="37">
        <v>9047.7000000000007</v>
      </c>
      <c r="G53" s="29"/>
    </row>
    <row r="54" spans="1:7" s="30" customFormat="1" x14ac:dyDescent="0.25">
      <c r="A54" s="38" t="s">
        <v>18</v>
      </c>
      <c r="B54" s="39"/>
      <c r="C54" s="40">
        <f>SUM(C55:C80)</f>
        <v>13671338.700000001</v>
      </c>
      <c r="D54" s="40">
        <f>SUM(D55:D80)</f>
        <v>13670337.000000004</v>
      </c>
      <c r="E54" s="40">
        <f>SUM(E55:E80)</f>
        <v>13670337.000000004</v>
      </c>
      <c r="F54" s="40">
        <f>SUM(F55:F80)</f>
        <v>7932118.3000000017</v>
      </c>
      <c r="G54" s="29"/>
    </row>
    <row r="55" spans="1:7" s="30" customFormat="1" ht="45" customHeight="1" outlineLevel="1" x14ac:dyDescent="0.25">
      <c r="A55" s="34" t="s">
        <v>96</v>
      </c>
      <c r="B55" s="35" t="s">
        <v>97</v>
      </c>
      <c r="C55" s="36">
        <f>106391400/1000</f>
        <v>106391.4</v>
      </c>
      <c r="D55" s="37">
        <f>106391400/1000</f>
        <v>106391.4</v>
      </c>
      <c r="E55" s="37">
        <v>106391.4</v>
      </c>
      <c r="F55" s="37">
        <v>49334.3</v>
      </c>
      <c r="G55" s="29"/>
    </row>
    <row r="56" spans="1:7" s="30" customFormat="1" ht="44.45" customHeight="1" outlineLevel="1" x14ac:dyDescent="0.25">
      <c r="A56" s="34" t="s">
        <v>98</v>
      </c>
      <c r="B56" s="35" t="s">
        <v>99</v>
      </c>
      <c r="C56" s="36">
        <f>1255900/1000</f>
        <v>1255.9000000000001</v>
      </c>
      <c r="D56" s="37">
        <f>1255900/1000</f>
        <v>1255.9000000000001</v>
      </c>
      <c r="E56" s="37">
        <v>1255.9000000000001</v>
      </c>
      <c r="F56" s="37">
        <v>0</v>
      </c>
      <c r="G56" s="29"/>
    </row>
    <row r="57" spans="1:7" s="30" customFormat="1" ht="76.5" outlineLevel="1" x14ac:dyDescent="0.25">
      <c r="A57" s="34" t="s">
        <v>100</v>
      </c>
      <c r="B57" s="35" t="s">
        <v>101</v>
      </c>
      <c r="C57" s="36">
        <f>61200/1000</f>
        <v>61.2</v>
      </c>
      <c r="D57" s="37">
        <f>61200/1000</f>
        <v>61.2</v>
      </c>
      <c r="E57" s="37">
        <v>61.2</v>
      </c>
      <c r="F57" s="37">
        <v>0</v>
      </c>
      <c r="G57" s="29"/>
    </row>
    <row r="58" spans="1:7" s="30" customFormat="1" ht="108" customHeight="1" outlineLevel="1" x14ac:dyDescent="0.25">
      <c r="A58" s="34" t="s">
        <v>102</v>
      </c>
      <c r="B58" s="35" t="s">
        <v>103</v>
      </c>
      <c r="C58" s="36">
        <f>4276826600/1000</f>
        <v>4276826.5999999996</v>
      </c>
      <c r="D58" s="37">
        <f>4276826600/1000</f>
        <v>4276826.5999999996</v>
      </c>
      <c r="E58" s="37">
        <v>4276826.5999999996</v>
      </c>
      <c r="F58" s="37">
        <v>2106509.5</v>
      </c>
      <c r="G58" s="29"/>
    </row>
    <row r="59" spans="1:7" s="30" customFormat="1" ht="109.5" customHeight="1" outlineLevel="1" x14ac:dyDescent="0.25">
      <c r="A59" s="34" t="s">
        <v>102</v>
      </c>
      <c r="B59" s="35" t="s">
        <v>104</v>
      </c>
      <c r="C59" s="36">
        <f>7873249000/1000</f>
        <v>7873249</v>
      </c>
      <c r="D59" s="37">
        <f>7873249000/1000</f>
        <v>7873249</v>
      </c>
      <c r="E59" s="37">
        <v>7873249</v>
      </c>
      <c r="F59" s="37">
        <v>5210518</v>
      </c>
      <c r="G59" s="29"/>
    </row>
    <row r="60" spans="1:7" s="30" customFormat="1" ht="38.25" outlineLevel="1" x14ac:dyDescent="0.25">
      <c r="A60" s="34" t="s">
        <v>105</v>
      </c>
      <c r="B60" s="35" t="s">
        <v>106</v>
      </c>
      <c r="C60" s="36">
        <f>306313000/1000</f>
        <v>306313</v>
      </c>
      <c r="D60" s="37">
        <f>305311300/1000</f>
        <v>305311.3</v>
      </c>
      <c r="E60" s="37">
        <v>305311.3</v>
      </c>
      <c r="F60" s="37">
        <v>130027</v>
      </c>
      <c r="G60" s="29"/>
    </row>
    <row r="61" spans="1:7" s="30" customFormat="1" ht="49.9" customHeight="1" outlineLevel="1" x14ac:dyDescent="0.25">
      <c r="A61" s="34" t="s">
        <v>107</v>
      </c>
      <c r="B61" s="35" t="s">
        <v>108</v>
      </c>
      <c r="C61" s="36">
        <f>132960000/1000</f>
        <v>132960</v>
      </c>
      <c r="D61" s="37">
        <f>132960000/1000</f>
        <v>132960</v>
      </c>
      <c r="E61" s="37">
        <v>132960</v>
      </c>
      <c r="F61" s="37">
        <v>0</v>
      </c>
      <c r="G61" s="29"/>
    </row>
    <row r="62" spans="1:7" s="30" customFormat="1" ht="34.15" customHeight="1" outlineLevel="1" x14ac:dyDescent="0.25">
      <c r="A62" s="34" t="s">
        <v>109</v>
      </c>
      <c r="B62" s="35" t="s">
        <v>110</v>
      </c>
      <c r="C62" s="36">
        <f>13000000/1000</f>
        <v>13000</v>
      </c>
      <c r="D62" s="37">
        <f>13000000/1000</f>
        <v>13000</v>
      </c>
      <c r="E62" s="37">
        <v>13000</v>
      </c>
      <c r="F62" s="37">
        <v>3998.9</v>
      </c>
      <c r="G62" s="29"/>
    </row>
    <row r="63" spans="1:7" s="30" customFormat="1" ht="57.75" customHeight="1" outlineLevel="1" x14ac:dyDescent="0.25">
      <c r="A63" s="41" t="s">
        <v>111</v>
      </c>
      <c r="B63" s="35" t="s">
        <v>112</v>
      </c>
      <c r="C63" s="36">
        <f>485700/1000</f>
        <v>485.7</v>
      </c>
      <c r="D63" s="37">
        <f>485700/1000</f>
        <v>485.7</v>
      </c>
      <c r="E63" s="37">
        <v>485.7</v>
      </c>
      <c r="F63" s="37">
        <v>126.3</v>
      </c>
      <c r="G63" s="29"/>
    </row>
    <row r="64" spans="1:7" s="30" customFormat="1" ht="72" customHeight="1" outlineLevel="1" x14ac:dyDescent="0.25">
      <c r="A64" s="42" t="s">
        <v>113</v>
      </c>
      <c r="B64" s="46" t="s">
        <v>114</v>
      </c>
      <c r="C64" s="47">
        <f>126208900/1000</f>
        <v>126208.9</v>
      </c>
      <c r="D64" s="37">
        <f>126208900/1000</f>
        <v>126208.9</v>
      </c>
      <c r="E64" s="37">
        <v>126208.9</v>
      </c>
      <c r="F64" s="37">
        <v>50002.5</v>
      </c>
      <c r="G64" s="29"/>
    </row>
    <row r="65" spans="1:7" s="30" customFormat="1" ht="54" customHeight="1" outlineLevel="1" x14ac:dyDescent="0.25">
      <c r="A65" s="42" t="s">
        <v>115</v>
      </c>
      <c r="B65" s="46" t="s">
        <v>116</v>
      </c>
      <c r="C65" s="47">
        <f>6562500/1000</f>
        <v>6562.5</v>
      </c>
      <c r="D65" s="37">
        <f>6562500/1000</f>
        <v>6562.5</v>
      </c>
      <c r="E65" s="37">
        <v>6562.5</v>
      </c>
      <c r="F65" s="37">
        <v>3394.9</v>
      </c>
      <c r="G65" s="29"/>
    </row>
    <row r="66" spans="1:7" s="30" customFormat="1" ht="28.5" customHeight="1" outlineLevel="1" x14ac:dyDescent="0.25">
      <c r="A66" s="45" t="s">
        <v>117</v>
      </c>
      <c r="B66" s="35" t="s">
        <v>118</v>
      </c>
      <c r="C66" s="36">
        <f>444700/1000</f>
        <v>444.7</v>
      </c>
      <c r="D66" s="37">
        <f>444700/1000</f>
        <v>444.7</v>
      </c>
      <c r="E66" s="37">
        <v>444.7</v>
      </c>
      <c r="F66" s="37">
        <v>188.9</v>
      </c>
      <c r="G66" s="29"/>
    </row>
    <row r="67" spans="1:7" s="30" customFormat="1" ht="32.450000000000003" customHeight="1" outlineLevel="1" x14ac:dyDescent="0.25">
      <c r="A67" s="34" t="s">
        <v>119</v>
      </c>
      <c r="B67" s="35" t="s">
        <v>120</v>
      </c>
      <c r="C67" s="36">
        <f>3405100/1000</f>
        <v>3405.1</v>
      </c>
      <c r="D67" s="36">
        <f>3405100/1000</f>
        <v>3405.1</v>
      </c>
      <c r="E67" s="37">
        <v>3405.1</v>
      </c>
      <c r="F67" s="37">
        <v>1455.7</v>
      </c>
      <c r="G67" s="29"/>
    </row>
    <row r="68" spans="1:7" s="30" customFormat="1" ht="32.450000000000003" customHeight="1" outlineLevel="1" x14ac:dyDescent="0.25">
      <c r="A68" s="34" t="s">
        <v>121</v>
      </c>
      <c r="B68" s="35" t="s">
        <v>122</v>
      </c>
      <c r="C68" s="36">
        <f>36000/1000</f>
        <v>36</v>
      </c>
      <c r="D68" s="37">
        <f>36000/1000</f>
        <v>36</v>
      </c>
      <c r="E68" s="37">
        <v>36</v>
      </c>
      <c r="F68" s="37">
        <v>5.5</v>
      </c>
      <c r="G68" s="29"/>
    </row>
    <row r="69" spans="1:7" s="30" customFormat="1" ht="32.450000000000003" customHeight="1" outlineLevel="1" x14ac:dyDescent="0.25">
      <c r="A69" s="34" t="s">
        <v>123</v>
      </c>
      <c r="B69" s="35" t="s">
        <v>124</v>
      </c>
      <c r="C69" s="36">
        <f>24184900/1000</f>
        <v>24184.9</v>
      </c>
      <c r="D69" s="37">
        <f>24184900/1000</f>
        <v>24184.9</v>
      </c>
      <c r="E69" s="37">
        <v>24184.9</v>
      </c>
      <c r="F69" s="37">
        <v>11778.8</v>
      </c>
      <c r="G69" s="29"/>
    </row>
    <row r="70" spans="1:7" s="30" customFormat="1" ht="20.45" customHeight="1" outlineLevel="1" x14ac:dyDescent="0.25">
      <c r="A70" s="34" t="s">
        <v>125</v>
      </c>
      <c r="B70" s="35" t="s">
        <v>126</v>
      </c>
      <c r="C70" s="36">
        <f>12084800/1000</f>
        <v>12084.8</v>
      </c>
      <c r="D70" s="37">
        <f>12084800/1000</f>
        <v>12084.8</v>
      </c>
      <c r="E70" s="37">
        <v>12084.8</v>
      </c>
      <c r="F70" s="37">
        <v>6297.3</v>
      </c>
      <c r="G70" s="29"/>
    </row>
    <row r="71" spans="1:7" s="30" customFormat="1" ht="57.6" customHeight="1" outlineLevel="1" x14ac:dyDescent="0.25">
      <c r="A71" s="34" t="s">
        <v>127</v>
      </c>
      <c r="B71" s="35" t="s">
        <v>128</v>
      </c>
      <c r="C71" s="36">
        <f>1049900/1000</f>
        <v>1049.9000000000001</v>
      </c>
      <c r="D71" s="37">
        <f>1049900/1000</f>
        <v>1049.9000000000001</v>
      </c>
      <c r="E71" s="37">
        <v>1049.9000000000001</v>
      </c>
      <c r="F71" s="37">
        <v>524.9</v>
      </c>
      <c r="G71" s="29"/>
    </row>
    <row r="72" spans="1:7" s="30" customFormat="1" ht="89.25" outlineLevel="1" x14ac:dyDescent="0.25">
      <c r="A72" s="34" t="s">
        <v>129</v>
      </c>
      <c r="B72" s="35" t="s">
        <v>130</v>
      </c>
      <c r="C72" s="36">
        <f>18500/1000</f>
        <v>18.5</v>
      </c>
      <c r="D72" s="37">
        <f>18500/1000</f>
        <v>18.5</v>
      </c>
      <c r="E72" s="37">
        <v>18.5</v>
      </c>
      <c r="F72" s="37">
        <v>0</v>
      </c>
      <c r="G72" s="29"/>
    </row>
    <row r="73" spans="1:7" s="30" customFormat="1" ht="34.9" customHeight="1" outlineLevel="1" x14ac:dyDescent="0.25">
      <c r="A73" s="34" t="s">
        <v>131</v>
      </c>
      <c r="B73" s="35" t="s">
        <v>132</v>
      </c>
      <c r="C73" s="36">
        <f>58639400/1000</f>
        <v>58639.4</v>
      </c>
      <c r="D73" s="37">
        <f>58639400/1000</f>
        <v>58639.4</v>
      </c>
      <c r="E73" s="37">
        <v>58639.4</v>
      </c>
      <c r="F73" s="37">
        <v>26267.4</v>
      </c>
      <c r="G73" s="29"/>
    </row>
    <row r="74" spans="1:7" s="30" customFormat="1" ht="45" customHeight="1" outlineLevel="1" x14ac:dyDescent="0.25">
      <c r="A74" s="34" t="s">
        <v>133</v>
      </c>
      <c r="B74" s="35" t="s">
        <v>134</v>
      </c>
      <c r="C74" s="36">
        <f>476200/1000</f>
        <v>476.2</v>
      </c>
      <c r="D74" s="37">
        <f>476200/1000</f>
        <v>476.2</v>
      </c>
      <c r="E74" s="37">
        <v>476.2</v>
      </c>
      <c r="F74" s="37">
        <v>0</v>
      </c>
      <c r="G74" s="29"/>
    </row>
    <row r="75" spans="1:7" s="30" customFormat="1" ht="43.9" customHeight="1" outlineLevel="1" x14ac:dyDescent="0.25">
      <c r="A75" s="34" t="s">
        <v>135</v>
      </c>
      <c r="B75" s="35" t="s">
        <v>136</v>
      </c>
      <c r="C75" s="36">
        <f>6093100/1000</f>
        <v>6093.1</v>
      </c>
      <c r="D75" s="37">
        <f>7164300/1000</f>
        <v>7164.3</v>
      </c>
      <c r="E75" s="37">
        <v>7164.3</v>
      </c>
      <c r="F75" s="37">
        <v>3556.9</v>
      </c>
      <c r="G75" s="29"/>
    </row>
    <row r="76" spans="1:7" s="30" customFormat="1" ht="61.9" customHeight="1" outlineLevel="1" x14ac:dyDescent="0.25">
      <c r="A76" s="34" t="s">
        <v>137</v>
      </c>
      <c r="B76" s="35" t="s">
        <v>138</v>
      </c>
      <c r="C76" s="36">
        <f>50518000/1000</f>
        <v>50518</v>
      </c>
      <c r="D76" s="37">
        <f>49446800/1000</f>
        <v>49446.8</v>
      </c>
      <c r="E76" s="37">
        <v>49446.8</v>
      </c>
      <c r="F76" s="37">
        <v>12875.3</v>
      </c>
      <c r="G76" s="29"/>
    </row>
    <row r="77" spans="1:7" s="30" customFormat="1" ht="85.15" customHeight="1" outlineLevel="1" x14ac:dyDescent="0.25">
      <c r="A77" s="34" t="s">
        <v>139</v>
      </c>
      <c r="B77" s="35" t="s">
        <v>140</v>
      </c>
      <c r="C77" s="36">
        <f>40645300/1000</f>
        <v>40645.300000000003</v>
      </c>
      <c r="D77" s="37">
        <f>40645300/1000</f>
        <v>40645.300000000003</v>
      </c>
      <c r="E77" s="37">
        <v>40645.300000000003</v>
      </c>
      <c r="F77" s="37">
        <v>18400.8</v>
      </c>
      <c r="G77" s="29"/>
    </row>
    <row r="78" spans="1:7" s="30" customFormat="1" ht="19.149999999999999" customHeight="1" outlineLevel="1" x14ac:dyDescent="0.25">
      <c r="A78" s="34" t="s">
        <v>141</v>
      </c>
      <c r="B78" s="35" t="s">
        <v>142</v>
      </c>
      <c r="C78" s="36">
        <f>15656300/1000</f>
        <v>15656.3</v>
      </c>
      <c r="D78" s="37">
        <f>15656300/1000</f>
        <v>15656.3</v>
      </c>
      <c r="E78" s="37">
        <v>15656.3</v>
      </c>
      <c r="F78" s="37">
        <v>0</v>
      </c>
      <c r="G78" s="29"/>
    </row>
    <row r="79" spans="1:7" s="30" customFormat="1" ht="41.25" customHeight="1" outlineLevel="1" x14ac:dyDescent="0.25">
      <c r="A79" s="34" t="s">
        <v>143</v>
      </c>
      <c r="B79" s="35" t="s">
        <v>144</v>
      </c>
      <c r="C79" s="36">
        <f>515453300/1000</f>
        <v>515453.3</v>
      </c>
      <c r="D79" s="37">
        <f>515453300/1000</f>
        <v>515453.3</v>
      </c>
      <c r="E79" s="37">
        <v>515453.3</v>
      </c>
      <c r="F79" s="37">
        <v>247847.7</v>
      </c>
      <c r="G79" s="29"/>
    </row>
    <row r="80" spans="1:7" s="30" customFormat="1" ht="34.5" customHeight="1" outlineLevel="1" x14ac:dyDescent="0.25">
      <c r="A80" s="34" t="s">
        <v>145</v>
      </c>
      <c r="B80" s="35" t="s">
        <v>146</v>
      </c>
      <c r="C80" s="36">
        <f>99319000/1000</f>
        <v>99319</v>
      </c>
      <c r="D80" s="37">
        <f>99319000/1000</f>
        <v>99319</v>
      </c>
      <c r="E80" s="37">
        <v>99319</v>
      </c>
      <c r="F80" s="37">
        <v>49007.7</v>
      </c>
      <c r="G80" s="29"/>
    </row>
    <row r="81" spans="1:7" x14ac:dyDescent="0.25">
      <c r="A81" s="14" t="s">
        <v>19</v>
      </c>
      <c r="B81" s="15"/>
      <c r="C81" s="20">
        <f>SUM(C82:C100)</f>
        <v>1212571.7</v>
      </c>
      <c r="D81" s="20">
        <f t="shared" ref="D81:F81" si="0">SUM(D82:D100)</f>
        <v>1639332.8764800001</v>
      </c>
      <c r="E81" s="20">
        <f t="shared" si="0"/>
        <v>2264462.3764800001</v>
      </c>
      <c r="F81" s="20">
        <v>120503</v>
      </c>
      <c r="G81" s="4"/>
    </row>
    <row r="82" spans="1:7" ht="38.25" x14ac:dyDescent="0.25">
      <c r="A82" s="34" t="s">
        <v>167</v>
      </c>
      <c r="B82" s="51" t="s">
        <v>168</v>
      </c>
      <c r="C82" s="52">
        <v>0</v>
      </c>
      <c r="D82" s="19">
        <v>0</v>
      </c>
      <c r="E82" s="19">
        <v>314955</v>
      </c>
      <c r="F82" s="19">
        <v>0</v>
      </c>
      <c r="G82" s="4"/>
    </row>
    <row r="83" spans="1:7" ht="38.25" outlineLevel="1" x14ac:dyDescent="0.25">
      <c r="A83" s="12" t="s">
        <v>147</v>
      </c>
      <c r="B83" s="13" t="s">
        <v>148</v>
      </c>
      <c r="C83" s="18">
        <f>255000/1000</f>
        <v>255</v>
      </c>
      <c r="D83" s="19">
        <f>255000/1000</f>
        <v>255</v>
      </c>
      <c r="E83" s="19">
        <v>255</v>
      </c>
      <c r="F83" s="19">
        <v>0</v>
      </c>
      <c r="G83" s="4"/>
    </row>
    <row r="84" spans="1:7" ht="38.25" outlineLevel="1" x14ac:dyDescent="0.25">
      <c r="A84" s="12" t="s">
        <v>169</v>
      </c>
      <c r="B84" s="53" t="s">
        <v>170</v>
      </c>
      <c r="C84" s="18">
        <v>0</v>
      </c>
      <c r="D84" s="19">
        <v>0</v>
      </c>
      <c r="E84" s="19">
        <v>5000</v>
      </c>
      <c r="F84" s="19">
        <v>0</v>
      </c>
      <c r="G84" s="4"/>
    </row>
    <row r="85" spans="1:7" ht="38.25" outlineLevel="1" x14ac:dyDescent="0.25">
      <c r="A85" s="12" t="s">
        <v>149</v>
      </c>
      <c r="B85" s="13" t="s">
        <v>150</v>
      </c>
      <c r="C85" s="18">
        <f>19250700/1000</f>
        <v>19250.7</v>
      </c>
      <c r="D85" s="19">
        <f>51473015/1000</f>
        <v>51473.014999999999</v>
      </c>
      <c r="E85" s="19">
        <v>51473.014999999999</v>
      </c>
      <c r="F85" s="19">
        <v>13011.5</v>
      </c>
      <c r="G85" s="4"/>
    </row>
    <row r="86" spans="1:7" outlineLevel="1" x14ac:dyDescent="0.25">
      <c r="A86" s="54" t="s">
        <v>151</v>
      </c>
      <c r="B86" s="13" t="s">
        <v>152</v>
      </c>
      <c r="C86" s="18">
        <f>365872600/1000</f>
        <v>365872.6</v>
      </c>
      <c r="D86" s="19">
        <f>365872600/1000</f>
        <v>365872.6</v>
      </c>
      <c r="E86" s="19">
        <v>365872.6</v>
      </c>
      <c r="F86" s="19">
        <v>24803</v>
      </c>
      <c r="G86" s="4"/>
    </row>
    <row r="87" spans="1:7" outlineLevel="1" x14ac:dyDescent="0.25">
      <c r="A87" s="55"/>
      <c r="B87" s="13" t="s">
        <v>171</v>
      </c>
      <c r="C87" s="18">
        <v>0</v>
      </c>
      <c r="D87" s="19">
        <v>0</v>
      </c>
      <c r="E87" s="19">
        <v>29710</v>
      </c>
      <c r="F87" s="19">
        <v>0</v>
      </c>
      <c r="G87" s="4"/>
    </row>
    <row r="88" spans="1:7" outlineLevel="1" x14ac:dyDescent="0.25">
      <c r="A88" s="55"/>
      <c r="B88" s="13" t="s">
        <v>172</v>
      </c>
      <c r="C88" s="18">
        <v>0</v>
      </c>
      <c r="D88" s="19">
        <v>0</v>
      </c>
      <c r="E88" s="19">
        <v>36524</v>
      </c>
      <c r="F88" s="19">
        <v>0</v>
      </c>
      <c r="G88" s="4"/>
    </row>
    <row r="89" spans="1:7" outlineLevel="1" x14ac:dyDescent="0.25">
      <c r="A89" s="55"/>
      <c r="B89" s="13" t="s">
        <v>153</v>
      </c>
      <c r="C89" s="18">
        <v>0</v>
      </c>
      <c r="D89" s="19">
        <v>105979.5</v>
      </c>
      <c r="E89" s="19">
        <v>158745.5</v>
      </c>
      <c r="F89" s="19">
        <v>0</v>
      </c>
      <c r="G89" s="4"/>
    </row>
    <row r="90" spans="1:7" outlineLevel="1" x14ac:dyDescent="0.25">
      <c r="A90" s="55"/>
      <c r="B90" s="13" t="s">
        <v>154</v>
      </c>
      <c r="C90" s="18">
        <f>56430000/1000</f>
        <v>56430</v>
      </c>
      <c r="D90" s="19">
        <f>56430000/1000</f>
        <v>56430</v>
      </c>
      <c r="E90" s="19">
        <v>56430</v>
      </c>
      <c r="F90" s="19">
        <v>3508.7</v>
      </c>
      <c r="G90" s="4"/>
    </row>
    <row r="91" spans="1:7" outlineLevel="1" x14ac:dyDescent="0.25">
      <c r="A91" s="55"/>
      <c r="B91" s="13" t="s">
        <v>173</v>
      </c>
      <c r="C91" s="18">
        <v>0</v>
      </c>
      <c r="D91" s="19">
        <v>0</v>
      </c>
      <c r="E91" s="19">
        <v>13000</v>
      </c>
      <c r="F91" s="19">
        <v>0</v>
      </c>
      <c r="G91" s="4"/>
    </row>
    <row r="92" spans="1:7" outlineLevel="1" x14ac:dyDescent="0.25">
      <c r="A92" s="55"/>
      <c r="B92" s="13" t="s">
        <v>155</v>
      </c>
      <c r="C92" s="18">
        <f>259000/1000</f>
        <v>259</v>
      </c>
      <c r="D92" s="19">
        <v>6248.4</v>
      </c>
      <c r="E92" s="19">
        <v>56248.4</v>
      </c>
      <c r="F92" s="19">
        <v>1930.7</v>
      </c>
      <c r="G92" s="4"/>
    </row>
    <row r="93" spans="1:7" outlineLevel="1" x14ac:dyDescent="0.25">
      <c r="A93" s="55"/>
      <c r="B93" s="13" t="s">
        <v>156</v>
      </c>
      <c r="C93" s="18">
        <v>0</v>
      </c>
      <c r="D93" s="19">
        <f>1070500/1000</f>
        <v>1070.5</v>
      </c>
      <c r="E93" s="19">
        <v>1070.5</v>
      </c>
      <c r="F93" s="19">
        <v>0</v>
      </c>
      <c r="G93" s="4"/>
    </row>
    <row r="94" spans="1:7" outlineLevel="1" x14ac:dyDescent="0.25">
      <c r="A94" s="55"/>
      <c r="B94" s="13" t="s">
        <v>157</v>
      </c>
      <c r="C94" s="18">
        <f>570000/1000</f>
        <v>570</v>
      </c>
      <c r="D94" s="19">
        <f>570000/1000</f>
        <v>570</v>
      </c>
      <c r="E94" s="19">
        <v>570</v>
      </c>
      <c r="F94" s="19">
        <v>41.1</v>
      </c>
      <c r="G94" s="4"/>
    </row>
    <row r="95" spans="1:7" outlineLevel="1" x14ac:dyDescent="0.25">
      <c r="A95" s="56"/>
      <c r="B95" s="13" t="s">
        <v>158</v>
      </c>
      <c r="C95" s="18">
        <v>0</v>
      </c>
      <c r="D95" s="19">
        <f>63114.85/1000</f>
        <v>63.114849999999997</v>
      </c>
      <c r="E95" s="19">
        <v>63.114849999999997</v>
      </c>
      <c r="F95" s="19">
        <v>19.5</v>
      </c>
      <c r="G95" s="4"/>
    </row>
    <row r="96" spans="1:7" s="30" customFormat="1" ht="25.5" outlineLevel="1" x14ac:dyDescent="0.25">
      <c r="A96" s="34" t="s">
        <v>75</v>
      </c>
      <c r="B96" s="35" t="s">
        <v>76</v>
      </c>
      <c r="C96" s="36">
        <f>6089000/1000</f>
        <v>6089</v>
      </c>
      <c r="D96" s="37">
        <v>0</v>
      </c>
      <c r="E96" s="37">
        <v>0</v>
      </c>
      <c r="F96" s="37">
        <v>0</v>
      </c>
      <c r="G96" s="29"/>
    </row>
    <row r="97" spans="1:7" s="30" customFormat="1" ht="25.5" outlineLevel="1" x14ac:dyDescent="0.25">
      <c r="A97" s="34" t="s">
        <v>159</v>
      </c>
      <c r="B97" s="35" t="s">
        <v>160</v>
      </c>
      <c r="C97" s="36">
        <v>0</v>
      </c>
      <c r="D97" s="37">
        <v>1574.8</v>
      </c>
      <c r="E97" s="37">
        <v>21149.3</v>
      </c>
      <c r="F97" s="37">
        <v>5869.5</v>
      </c>
      <c r="G97" s="29"/>
    </row>
    <row r="98" spans="1:7" s="30" customFormat="1" outlineLevel="1" x14ac:dyDescent="0.25">
      <c r="A98" s="34" t="s">
        <v>161</v>
      </c>
      <c r="B98" s="35" t="s">
        <v>162</v>
      </c>
      <c r="C98" s="36">
        <f>2040800/1000</f>
        <v>2040.8</v>
      </c>
      <c r="D98" s="37">
        <f>2040816.33/1000</f>
        <v>2040.8163300000001</v>
      </c>
      <c r="E98" s="37">
        <v>2040.8163300000001</v>
      </c>
      <c r="F98" s="37">
        <v>0</v>
      </c>
      <c r="G98" s="29"/>
    </row>
    <row r="99" spans="1:7" s="30" customFormat="1" ht="51" outlineLevel="1" x14ac:dyDescent="0.25">
      <c r="A99" s="34" t="s">
        <v>174</v>
      </c>
      <c r="B99" s="35" t="s">
        <v>175</v>
      </c>
      <c r="C99" s="36">
        <v>0</v>
      </c>
      <c r="D99" s="37">
        <v>0</v>
      </c>
      <c r="E99" s="37">
        <v>103600</v>
      </c>
      <c r="F99" s="37">
        <v>853</v>
      </c>
      <c r="G99" s="29"/>
    </row>
    <row r="100" spans="1:7" s="30" customFormat="1" ht="38.25" outlineLevel="1" x14ac:dyDescent="0.25">
      <c r="A100" s="34" t="s">
        <v>163</v>
      </c>
      <c r="B100" s="35" t="s">
        <v>164</v>
      </c>
      <c r="C100" s="36">
        <f>761804600/1000</f>
        <v>761804.6</v>
      </c>
      <c r="D100" s="37">
        <f>1047755130.3/1000</f>
        <v>1047755.1303</v>
      </c>
      <c r="E100" s="37">
        <v>1047755.1303</v>
      </c>
      <c r="F100" s="37">
        <v>70465.899999999994</v>
      </c>
      <c r="G100" s="29"/>
    </row>
    <row r="101" spans="1:7" s="7" customFormat="1" x14ac:dyDescent="0.25">
      <c r="A101" s="16" t="s">
        <v>22</v>
      </c>
      <c r="B101" s="16"/>
      <c r="C101" s="20">
        <f>C7+C11+C54+C81</f>
        <v>22496042.48</v>
      </c>
      <c r="D101" s="20">
        <f>D7+D11+D54+D81</f>
        <v>24552933.114440002</v>
      </c>
      <c r="E101" s="20">
        <f>E7+E11+E54+E81</f>
        <v>25458759.114440002</v>
      </c>
      <c r="F101" s="20">
        <v>12267682.699999999</v>
      </c>
      <c r="G101" s="6"/>
    </row>
    <row r="102" spans="1:7" x14ac:dyDescent="0.25">
      <c r="A102" s="5"/>
      <c r="B102" s="5"/>
      <c r="C102" s="21"/>
      <c r="D102" s="22"/>
      <c r="E102" s="23"/>
      <c r="F102" s="21"/>
      <c r="G102" s="4"/>
    </row>
    <row r="105" spans="1:7" x14ac:dyDescent="0.25">
      <c r="C105" s="26"/>
      <c r="E105" s="28"/>
      <c r="F105" s="28"/>
    </row>
    <row r="106" spans="1:7" x14ac:dyDescent="0.25">
      <c r="C106" s="27"/>
    </row>
  </sheetData>
  <autoFilter ref="A6:G101"/>
  <mergeCells count="12">
    <mergeCell ref="A86:A95"/>
    <mergeCell ref="A1:F1"/>
    <mergeCell ref="A2:F2"/>
    <mergeCell ref="A3:B3"/>
    <mergeCell ref="A4:A5"/>
    <mergeCell ref="B4:B5"/>
    <mergeCell ref="D4:D5"/>
    <mergeCell ref="A25:A26"/>
    <mergeCell ref="A33:A36"/>
    <mergeCell ref="C4:C5"/>
    <mergeCell ref="E4:E5"/>
    <mergeCell ref="F4:F5"/>
  </mergeCells>
  <pageMargins left="0.39370078740157483" right="0.39370078740157483" top="0.39370078740157483" bottom="0.39370078740157483" header="0.39370078740157483" footer="0.39370078740157483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2020-09-18T07:51:40Z</cp:lastPrinted>
  <dcterms:created xsi:type="dcterms:W3CDTF">2018-08-03T02:45:07Z</dcterms:created>
  <dcterms:modified xsi:type="dcterms:W3CDTF">2020-09-18T07:51:51Z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