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2680" windowHeight="916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Лист1!$A:$A</definedName>
    <definedName name="_xlnm.Print_Area" localSheetId="0">Лист1!$A$1:$IV$44</definedName>
  </definedNames>
  <calcPr calcId="145621"/>
</workbook>
</file>

<file path=xl/calcChain.xml><?xml version="1.0" encoding="utf-8"?>
<calcChain xmlns="http://schemas.openxmlformats.org/spreadsheetml/2006/main">
  <c r="ET40" i="1" l="1"/>
  <c r="GK42" i="1" l="1"/>
  <c r="GK7" i="1"/>
  <c r="GK8" i="1"/>
  <c r="GK9" i="1"/>
  <c r="GK10" i="1"/>
  <c r="GK11" i="1"/>
  <c r="GK12" i="1"/>
  <c r="GK13" i="1"/>
  <c r="GK14" i="1"/>
  <c r="GK15" i="1"/>
  <c r="GK16" i="1"/>
  <c r="GK17" i="1"/>
  <c r="GK18" i="1"/>
  <c r="GK19" i="1"/>
  <c r="GK20" i="1"/>
  <c r="GK21" i="1"/>
  <c r="GK22" i="1"/>
  <c r="GK23" i="1"/>
  <c r="GK24" i="1"/>
  <c r="GK25" i="1"/>
  <c r="GK26" i="1"/>
  <c r="GK27" i="1"/>
  <c r="GK28" i="1"/>
  <c r="GK29" i="1"/>
  <c r="GK30" i="1"/>
  <c r="GK31" i="1"/>
  <c r="GK32" i="1"/>
  <c r="GK33" i="1"/>
  <c r="GK34" i="1"/>
  <c r="GK35" i="1"/>
  <c r="GK36" i="1"/>
  <c r="GK37" i="1"/>
  <c r="GK38" i="1"/>
  <c r="EF7" i="1"/>
  <c r="EF8" i="1"/>
  <c r="EF9" i="1"/>
  <c r="EF10" i="1"/>
  <c r="EF11" i="1"/>
  <c r="EF12" i="1"/>
  <c r="EF13" i="1"/>
  <c r="EF14" i="1"/>
  <c r="EF15" i="1"/>
  <c r="EF16" i="1"/>
  <c r="EF17" i="1"/>
  <c r="EF18" i="1"/>
  <c r="EF19" i="1"/>
  <c r="EF20" i="1"/>
  <c r="EF21" i="1"/>
  <c r="EF22" i="1"/>
  <c r="EF23" i="1"/>
  <c r="EF24" i="1"/>
  <c r="EF25" i="1"/>
  <c r="EF26" i="1"/>
  <c r="EF27" i="1"/>
  <c r="EF28" i="1"/>
  <c r="EF29" i="1"/>
  <c r="EF30" i="1"/>
  <c r="EF31" i="1"/>
  <c r="EF32" i="1"/>
  <c r="EF33" i="1"/>
  <c r="EF34" i="1"/>
  <c r="EF35" i="1"/>
  <c r="EF36" i="1"/>
  <c r="EF37" i="1"/>
  <c r="EF6" i="1"/>
  <c r="P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4" i="1"/>
  <c r="G6" i="1"/>
  <c r="IT43" i="1"/>
  <c r="HI9" i="1"/>
  <c r="HI10" i="1"/>
  <c r="HI11" i="1"/>
  <c r="HI12" i="1"/>
  <c r="HI13" i="1"/>
  <c r="HI14" i="1"/>
  <c r="HI15" i="1"/>
  <c r="HI16" i="1"/>
  <c r="HI17" i="1"/>
  <c r="HI18" i="1"/>
  <c r="HI19" i="1"/>
  <c r="HI20" i="1"/>
  <c r="HI21" i="1"/>
  <c r="HI22" i="1"/>
  <c r="HI23" i="1"/>
  <c r="HI24" i="1"/>
  <c r="HI25" i="1"/>
  <c r="HI26" i="1"/>
  <c r="HI27" i="1"/>
  <c r="HI28" i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IK6" i="1"/>
  <c r="IK35" i="1"/>
  <c r="IK28" i="1"/>
  <c r="IH12" i="1"/>
  <c r="IH15" i="1"/>
  <c r="IH24" i="1"/>
  <c r="IH41" i="1"/>
  <c r="II6" i="1"/>
  <c r="IH6" i="1"/>
  <c r="II38" i="1"/>
  <c r="IH38" i="1"/>
  <c r="IE14" i="1"/>
  <c r="IE13" i="1"/>
  <c r="IE11" i="1"/>
  <c r="IE9" i="1"/>
  <c r="IE7" i="1"/>
  <c r="IE22" i="1"/>
  <c r="IE27" i="1"/>
  <c r="IE26" i="1"/>
  <c r="IE29" i="1"/>
  <c r="IE35" i="1"/>
  <c r="IE36" i="1"/>
  <c r="IE40" i="1"/>
  <c r="IE39" i="1"/>
  <c r="HY41" i="1"/>
  <c r="HY24" i="1"/>
  <c r="HY15" i="1"/>
  <c r="HY12" i="1"/>
  <c r="HV36" i="1"/>
  <c r="HV35" i="1"/>
  <c r="HV29" i="1"/>
  <c r="HV27" i="1"/>
  <c r="HV26" i="1"/>
  <c r="HV22" i="1"/>
  <c r="HV14" i="1"/>
  <c r="HV13" i="1"/>
  <c r="HV11" i="1"/>
  <c r="HV9" i="1"/>
  <c r="HV7" i="1"/>
  <c r="HV40" i="1"/>
  <c r="HV39" i="1"/>
  <c r="HS43" i="1"/>
  <c r="HP42" i="1"/>
  <c r="HP41" i="1"/>
  <c r="HP38" i="1" s="1"/>
  <c r="HP40" i="1"/>
  <c r="HP39" i="1"/>
  <c r="HP37" i="1"/>
  <c r="HP36" i="1"/>
  <c r="HP35" i="1"/>
  <c r="HP34" i="1"/>
  <c r="HP33" i="1"/>
  <c r="HP32" i="1"/>
  <c r="HP31" i="1"/>
  <c r="HP30" i="1"/>
  <c r="HP29" i="1"/>
  <c r="HP28" i="1"/>
  <c r="HP27" i="1"/>
  <c r="HP26" i="1"/>
  <c r="HP25" i="1"/>
  <c r="HP24" i="1"/>
  <c r="HP23" i="1"/>
  <c r="HP22" i="1"/>
  <c r="HP21" i="1"/>
  <c r="HP20" i="1"/>
  <c r="HP19" i="1"/>
  <c r="HP18" i="1"/>
  <c r="HP17" i="1"/>
  <c r="HP16" i="1"/>
  <c r="HP15" i="1"/>
  <c r="HP14" i="1"/>
  <c r="HP13" i="1"/>
  <c r="HP12" i="1"/>
  <c r="HP11" i="1"/>
  <c r="HP10" i="1"/>
  <c r="HP9" i="1"/>
  <c r="HP8" i="1"/>
  <c r="HP7" i="1"/>
  <c r="HM7" i="1"/>
  <c r="HM6" i="1" s="1"/>
  <c r="HM39" i="1"/>
  <c r="HM38" i="1"/>
  <c r="HN38" i="1"/>
  <c r="HK44" i="1"/>
  <c r="HN44" i="1"/>
  <c r="HO44" i="1"/>
  <c r="HQ44" i="1"/>
  <c r="HR44" i="1"/>
  <c r="HS44" i="1"/>
  <c r="HT44" i="1"/>
  <c r="HX44" i="1"/>
  <c r="IB44" i="1"/>
  <c r="IC44" i="1"/>
  <c r="IF44" i="1"/>
  <c r="IG44" i="1"/>
  <c r="IH44" i="1"/>
  <c r="II44" i="1"/>
  <c r="IJ44" i="1"/>
  <c r="IK44" i="1"/>
  <c r="IL44" i="1"/>
  <c r="IN44" i="1"/>
  <c r="IO44" i="1"/>
  <c r="IP44" i="1"/>
  <c r="IQ44" i="1"/>
  <c r="IR44" i="1"/>
  <c r="IS44" i="1"/>
  <c r="HJ44" i="1"/>
  <c r="HH7" i="1"/>
  <c r="HH8" i="1"/>
  <c r="HH9" i="1"/>
  <c r="HH10" i="1"/>
  <c r="HH11" i="1"/>
  <c r="HH12" i="1"/>
  <c r="HH13" i="1"/>
  <c r="HH14" i="1"/>
  <c r="HH15" i="1"/>
  <c r="HH16" i="1"/>
  <c r="HH17" i="1"/>
  <c r="HH18" i="1"/>
  <c r="HH19" i="1"/>
  <c r="HH20" i="1"/>
  <c r="HH21" i="1"/>
  <c r="HH22" i="1"/>
  <c r="HH23" i="1"/>
  <c r="HH24" i="1"/>
  <c r="HH25" i="1"/>
  <c r="HH26" i="1"/>
  <c r="HH27" i="1"/>
  <c r="HH28" i="1"/>
  <c r="HH29" i="1"/>
  <c r="HH30" i="1"/>
  <c r="HH31" i="1"/>
  <c r="HH32" i="1"/>
  <c r="HH33" i="1"/>
  <c r="HH34" i="1"/>
  <c r="HH35" i="1"/>
  <c r="HH36" i="1"/>
  <c r="HH37" i="1"/>
  <c r="HH39" i="1"/>
  <c r="HH40" i="1"/>
  <c r="HH41" i="1"/>
  <c r="HH42" i="1"/>
  <c r="HG7" i="1"/>
  <c r="HG8" i="1"/>
  <c r="HG9" i="1"/>
  <c r="HG10" i="1"/>
  <c r="HG11" i="1"/>
  <c r="HG12" i="1"/>
  <c r="HG13" i="1"/>
  <c r="HG14" i="1"/>
  <c r="HG15" i="1"/>
  <c r="HG16" i="1"/>
  <c r="HG17" i="1"/>
  <c r="HG18" i="1"/>
  <c r="HG19" i="1"/>
  <c r="HG20" i="1"/>
  <c r="HG21" i="1"/>
  <c r="HG22" i="1"/>
  <c r="HG23" i="1"/>
  <c r="HG24" i="1"/>
  <c r="HG25" i="1"/>
  <c r="HG26" i="1"/>
  <c r="HG27" i="1"/>
  <c r="HG28" i="1"/>
  <c r="HG29" i="1"/>
  <c r="HG30" i="1"/>
  <c r="HG31" i="1"/>
  <c r="HG32" i="1"/>
  <c r="HG33" i="1"/>
  <c r="HG34" i="1"/>
  <c r="HG35" i="1"/>
  <c r="HG36" i="1"/>
  <c r="HG37" i="1"/>
  <c r="HG39" i="1"/>
  <c r="HG40" i="1"/>
  <c r="HG41" i="1"/>
  <c r="HG42" i="1"/>
  <c r="HG43" i="1"/>
  <c r="GC6" i="1"/>
  <c r="H44" i="1"/>
  <c r="HP6" i="1" l="1"/>
  <c r="HP44" i="1" s="1"/>
  <c r="HM44" i="1"/>
  <c r="EE7" i="1" l="1"/>
  <c r="EE8" i="1"/>
  <c r="EE9" i="1"/>
  <c r="EE10" i="1"/>
  <c r="EE11" i="1"/>
  <c r="EE12" i="1"/>
  <c r="EE13" i="1"/>
  <c r="EE14" i="1"/>
  <c r="EE15" i="1"/>
  <c r="EE16" i="1"/>
  <c r="EE17" i="1"/>
  <c r="EE18" i="1"/>
  <c r="EE19" i="1"/>
  <c r="EE20" i="1"/>
  <c r="EE21" i="1"/>
  <c r="EE22" i="1"/>
  <c r="EE23" i="1"/>
  <c r="EE24" i="1"/>
  <c r="EE25" i="1"/>
  <c r="EE26" i="1"/>
  <c r="EE27" i="1"/>
  <c r="EE28" i="1"/>
  <c r="EE29" i="1"/>
  <c r="EE30" i="1"/>
  <c r="EE31" i="1"/>
  <c r="EE32" i="1"/>
  <c r="EE33" i="1"/>
  <c r="EE34" i="1"/>
  <c r="EE35" i="1"/>
  <c r="EE36" i="1"/>
  <c r="EE37" i="1"/>
  <c r="EE39" i="1"/>
  <c r="EE40" i="1"/>
  <c r="EE41" i="1"/>
  <c r="EE42" i="1"/>
  <c r="EE6" i="1"/>
  <c r="ED7" i="1"/>
  <c r="ED8" i="1"/>
  <c r="ED9" i="1"/>
  <c r="ED10" i="1"/>
  <c r="ED11" i="1"/>
  <c r="ED12" i="1"/>
  <c r="ED13" i="1"/>
  <c r="ED14" i="1"/>
  <c r="ED15" i="1"/>
  <c r="ED16" i="1"/>
  <c r="ED17" i="1"/>
  <c r="ED18" i="1"/>
  <c r="ED19" i="1"/>
  <c r="ED20" i="1"/>
  <c r="ED21" i="1"/>
  <c r="ED22" i="1"/>
  <c r="ED23" i="1"/>
  <c r="ED24" i="1"/>
  <c r="ED25" i="1"/>
  <c r="ED26" i="1"/>
  <c r="ED27" i="1"/>
  <c r="ED28" i="1"/>
  <c r="ED29" i="1"/>
  <c r="ED30" i="1"/>
  <c r="ED31" i="1"/>
  <c r="ED32" i="1"/>
  <c r="ED33" i="1"/>
  <c r="ED34" i="1"/>
  <c r="ED35" i="1"/>
  <c r="ED36" i="1"/>
  <c r="ED37" i="1"/>
  <c r="ED39" i="1"/>
  <c r="ED40" i="1"/>
  <c r="ED41" i="1"/>
  <c r="ED42" i="1"/>
  <c r="ED43" i="1"/>
  <c r="ED6" i="1"/>
  <c r="EU7" i="1"/>
  <c r="EU8" i="1"/>
  <c r="EU9" i="1"/>
  <c r="EU10" i="1"/>
  <c r="EU11" i="1"/>
  <c r="EU12" i="1"/>
  <c r="EU13" i="1"/>
  <c r="EU14" i="1"/>
  <c r="EU15" i="1"/>
  <c r="EU16" i="1"/>
  <c r="EU17" i="1"/>
  <c r="EU18" i="1"/>
  <c r="EU19" i="1"/>
  <c r="EU20" i="1"/>
  <c r="EU21" i="1"/>
  <c r="EU22" i="1"/>
  <c r="EU23" i="1"/>
  <c r="EU24" i="1"/>
  <c r="EU25" i="1"/>
  <c r="EU26" i="1"/>
  <c r="EU27" i="1"/>
  <c r="EU28" i="1"/>
  <c r="EU29" i="1"/>
  <c r="EU30" i="1"/>
  <c r="EU31" i="1"/>
  <c r="EU32" i="1"/>
  <c r="EU33" i="1"/>
  <c r="EU34" i="1"/>
  <c r="EU35" i="1"/>
  <c r="EU36" i="1"/>
  <c r="EU37" i="1"/>
  <c r="EU39" i="1"/>
  <c r="EU40" i="1"/>
  <c r="EU41" i="1"/>
  <c r="EU42" i="1"/>
  <c r="EU6" i="1"/>
  <c r="ET6" i="1"/>
  <c r="ET38" i="1"/>
  <c r="ES38" i="1"/>
  <c r="ES6" i="1"/>
  <c r="ER7" i="1"/>
  <c r="ER8" i="1"/>
  <c r="ER9" i="1"/>
  <c r="ER10" i="1"/>
  <c r="ER11" i="1"/>
  <c r="ER12" i="1"/>
  <c r="ER13" i="1"/>
  <c r="ER14" i="1"/>
  <c r="ER15" i="1"/>
  <c r="ER16" i="1"/>
  <c r="ER17" i="1"/>
  <c r="ER18" i="1"/>
  <c r="ER19" i="1"/>
  <c r="ER20" i="1"/>
  <c r="ER21" i="1"/>
  <c r="ER22" i="1"/>
  <c r="ER23" i="1"/>
  <c r="ER24" i="1"/>
  <c r="ER25" i="1"/>
  <c r="ER26" i="1"/>
  <c r="ER27" i="1"/>
  <c r="ER28" i="1"/>
  <c r="ER29" i="1"/>
  <c r="ER30" i="1"/>
  <c r="ER31" i="1"/>
  <c r="ER32" i="1"/>
  <c r="ER33" i="1"/>
  <c r="ER34" i="1"/>
  <c r="ER35" i="1"/>
  <c r="ER36" i="1"/>
  <c r="ER37" i="1"/>
  <c r="ER39" i="1"/>
  <c r="ER40" i="1"/>
  <c r="ER41" i="1"/>
  <c r="ER42" i="1"/>
  <c r="EF39" i="1" l="1"/>
  <c r="EU38" i="1"/>
  <c r="EF40" i="1"/>
  <c r="EF41" i="1"/>
  <c r="EF42" i="1"/>
  <c r="ES44" i="1"/>
  <c r="ET44" i="1"/>
  <c r="IE6" i="1"/>
  <c r="IE44" i="1" s="1"/>
  <c r="IE38" i="1"/>
  <c r="IN1048576" i="1"/>
  <c r="IO1048576" i="1"/>
  <c r="IP1048576" i="1"/>
  <c r="IN29" i="1"/>
  <c r="IN40" i="1"/>
  <c r="IN38" i="1"/>
  <c r="IN6" i="1"/>
  <c r="IQ38" i="1"/>
  <c r="IQ6" i="1"/>
  <c r="IQ17" i="1"/>
  <c r="IQ35" i="1"/>
  <c r="IQ41" i="1"/>
  <c r="GX42" i="1"/>
  <c r="GX41" i="1"/>
  <c r="GX40" i="1"/>
  <c r="GX39" i="1"/>
  <c r="GX37" i="1"/>
  <c r="GX36" i="1"/>
  <c r="GX35" i="1"/>
  <c r="GX34" i="1"/>
  <c r="GX33" i="1"/>
  <c r="GX32" i="1"/>
  <c r="GX31" i="1"/>
  <c r="GX30" i="1"/>
  <c r="GX29" i="1"/>
  <c r="GX28" i="1"/>
  <c r="GX27" i="1"/>
  <c r="GX26" i="1"/>
  <c r="GX25" i="1"/>
  <c r="GX24" i="1"/>
  <c r="GX23" i="1"/>
  <c r="GX22" i="1"/>
  <c r="GX21" i="1"/>
  <c r="GX20" i="1"/>
  <c r="GX19" i="1"/>
  <c r="GX18" i="1"/>
  <c r="GX17" i="1"/>
  <c r="GX16" i="1"/>
  <c r="GX15" i="1"/>
  <c r="GX14" i="1"/>
  <c r="GX13" i="1"/>
  <c r="GX12" i="1"/>
  <c r="GX11" i="1"/>
  <c r="GX10" i="1"/>
  <c r="GX9" i="1"/>
  <c r="GX8" i="1"/>
  <c r="GX7" i="1"/>
  <c r="GI6" i="1"/>
  <c r="HA42" i="1"/>
  <c r="HA41" i="1"/>
  <c r="HA40" i="1"/>
  <c r="HA39" i="1"/>
  <c r="HA38" i="1" s="1"/>
  <c r="HC38" i="1" s="1"/>
  <c r="HA37" i="1"/>
  <c r="HA36" i="1"/>
  <c r="HA35" i="1"/>
  <c r="HA34" i="1"/>
  <c r="HA33" i="1"/>
  <c r="HA32" i="1"/>
  <c r="HA31" i="1"/>
  <c r="HC31" i="1" s="1"/>
  <c r="HA30" i="1"/>
  <c r="HA29" i="1"/>
  <c r="HA28" i="1"/>
  <c r="HA27" i="1"/>
  <c r="HA26" i="1"/>
  <c r="HA25" i="1"/>
  <c r="HA24" i="1"/>
  <c r="HA23" i="1"/>
  <c r="HA22" i="1"/>
  <c r="HA21" i="1"/>
  <c r="HA20" i="1"/>
  <c r="HA19" i="1"/>
  <c r="HA18" i="1"/>
  <c r="HC18" i="1" s="1"/>
  <c r="HA17" i="1"/>
  <c r="HA16" i="1"/>
  <c r="HA15" i="1"/>
  <c r="HA14" i="1"/>
  <c r="HA13" i="1"/>
  <c r="HA12" i="1"/>
  <c r="HA11" i="1"/>
  <c r="HA10" i="1"/>
  <c r="HA6" i="1" s="1"/>
  <c r="HA9" i="1"/>
  <c r="HA8" i="1"/>
  <c r="HA7" i="1"/>
  <c r="FI21" i="1"/>
  <c r="FI39" i="1"/>
  <c r="FI29" i="1"/>
  <c r="FI17" i="1"/>
  <c r="FI35" i="1"/>
  <c r="FI34" i="1"/>
  <c r="FI24" i="1"/>
  <c r="FI23" i="1"/>
  <c r="FI20" i="1"/>
  <c r="FI15" i="1"/>
  <c r="FI18" i="1"/>
  <c r="FI11" i="1"/>
  <c r="FI10" i="1"/>
  <c r="FI8" i="1"/>
  <c r="FI7" i="1"/>
  <c r="FI41" i="1"/>
  <c r="FH42" i="1"/>
  <c r="FH41" i="1"/>
  <c r="FH40" i="1"/>
  <c r="FH39" i="1"/>
  <c r="FH37" i="1"/>
  <c r="FH35" i="1"/>
  <c r="FH34" i="1"/>
  <c r="FH29" i="1"/>
  <c r="FH24" i="1"/>
  <c r="FH23" i="1"/>
  <c r="FH21" i="1"/>
  <c r="FH20" i="1"/>
  <c r="FH18" i="1"/>
  <c r="FH17" i="1"/>
  <c r="FH15" i="1"/>
  <c r="FH14" i="1"/>
  <c r="FH11" i="1"/>
  <c r="FH10" i="1"/>
  <c r="FH8" i="1"/>
  <c r="FH7" i="1"/>
  <c r="EM41" i="1"/>
  <c r="EM40" i="1"/>
  <c r="EM39" i="1"/>
  <c r="EM37" i="1"/>
  <c r="EM35" i="1"/>
  <c r="EM34" i="1"/>
  <c r="EM29" i="1"/>
  <c r="EM24" i="1"/>
  <c r="EM23" i="1"/>
  <c r="EM21" i="1"/>
  <c r="EM20" i="1"/>
  <c r="EM18" i="1"/>
  <c r="EM17" i="1"/>
  <c r="EM15" i="1"/>
  <c r="EM11" i="1"/>
  <c r="EM10" i="1"/>
  <c r="EM8" i="1"/>
  <c r="EM7" i="1"/>
  <c r="GF7" i="1"/>
  <c r="GF27" i="1"/>
  <c r="GF35" i="1"/>
  <c r="GD31" i="1"/>
  <c r="GC31" i="1"/>
  <c r="GC30" i="1"/>
  <c r="GC15" i="1"/>
  <c r="GD30" i="1"/>
  <c r="GD15" i="1"/>
  <c r="EJ41" i="1"/>
  <c r="EJ37" i="1"/>
  <c r="EJ29" i="1"/>
  <c r="EJ28" i="1"/>
  <c r="EJ27" i="1"/>
  <c r="EJ23" i="1"/>
  <c r="EJ21" i="1"/>
  <c r="EJ19" i="1"/>
  <c r="EJ18" i="1"/>
  <c r="EJ11" i="1"/>
  <c r="EJ7" i="1"/>
  <c r="FB41" i="1"/>
  <c r="FB37" i="1"/>
  <c r="FB29" i="1"/>
  <c r="FD29" i="1" s="1"/>
  <c r="FB28" i="1"/>
  <c r="FD28" i="1" s="1"/>
  <c r="FB27" i="1"/>
  <c r="FB23" i="1"/>
  <c r="FB21" i="1"/>
  <c r="FB19" i="1"/>
  <c r="FB18" i="1"/>
  <c r="FB11" i="1"/>
  <c r="FB7" i="1"/>
  <c r="FF29" i="1"/>
  <c r="FE31" i="1"/>
  <c r="FE30" i="1"/>
  <c r="FE29" i="1"/>
  <c r="FE19" i="1"/>
  <c r="FG19" i="1" s="1"/>
  <c r="FE15" i="1"/>
  <c r="FE12" i="1"/>
  <c r="FN42" i="1"/>
  <c r="FN41" i="1"/>
  <c r="FN40" i="1"/>
  <c r="FN39" i="1"/>
  <c r="FN37" i="1"/>
  <c r="FN36" i="1"/>
  <c r="FN35" i="1"/>
  <c r="FN34" i="1"/>
  <c r="FN33" i="1"/>
  <c r="FN32" i="1"/>
  <c r="FN31" i="1"/>
  <c r="FN30" i="1"/>
  <c r="FN29" i="1"/>
  <c r="FN28" i="1"/>
  <c r="FN27" i="1"/>
  <c r="FN26" i="1"/>
  <c r="FN25" i="1"/>
  <c r="FN24" i="1"/>
  <c r="FN23" i="1"/>
  <c r="FN22" i="1"/>
  <c r="FN21" i="1"/>
  <c r="FN20" i="1"/>
  <c r="FN19" i="1"/>
  <c r="FN18" i="1"/>
  <c r="FN17" i="1"/>
  <c r="FN16" i="1"/>
  <c r="FN15" i="1"/>
  <c r="FN14" i="1"/>
  <c r="FN13" i="1"/>
  <c r="FN12" i="1"/>
  <c r="FN11" i="1"/>
  <c r="FN10" i="1"/>
  <c r="FN9" i="1"/>
  <c r="FN8" i="1"/>
  <c r="FN7" i="1"/>
  <c r="GP21" i="1"/>
  <c r="GP39" i="1"/>
  <c r="GP29" i="1"/>
  <c r="GP25" i="1"/>
  <c r="GP37" i="1"/>
  <c r="GP36" i="1"/>
  <c r="GP35" i="1"/>
  <c r="GP34" i="1"/>
  <c r="GP31" i="1"/>
  <c r="GP23" i="1"/>
  <c r="GP19" i="1"/>
  <c r="GP13" i="1"/>
  <c r="GP11" i="1"/>
  <c r="GP7" i="1"/>
  <c r="GP42" i="1"/>
  <c r="GP41" i="1"/>
  <c r="GP27" i="1"/>
  <c r="GO42" i="1"/>
  <c r="GO41" i="1"/>
  <c r="GO39" i="1"/>
  <c r="GO37" i="1"/>
  <c r="GO36" i="1"/>
  <c r="GO35" i="1"/>
  <c r="GO34" i="1"/>
  <c r="GO32" i="1"/>
  <c r="GO31" i="1"/>
  <c r="GO29" i="1"/>
  <c r="GO27" i="1"/>
  <c r="GO25" i="1"/>
  <c r="GO23" i="1"/>
  <c r="GO21" i="1"/>
  <c r="GO20" i="1"/>
  <c r="GO19" i="1"/>
  <c r="GO18" i="1"/>
  <c r="GO14" i="1"/>
  <c r="GO13" i="1"/>
  <c r="GO11" i="1"/>
  <c r="GO7" i="1"/>
  <c r="GR42" i="1"/>
  <c r="GR41" i="1"/>
  <c r="GR40" i="1"/>
  <c r="GR39" i="1"/>
  <c r="GR37" i="1"/>
  <c r="GR36" i="1"/>
  <c r="GR35" i="1"/>
  <c r="GR34" i="1"/>
  <c r="GR33" i="1"/>
  <c r="GR32" i="1"/>
  <c r="GR31" i="1"/>
  <c r="GR30" i="1"/>
  <c r="GR29" i="1"/>
  <c r="GR28" i="1"/>
  <c r="GR27" i="1"/>
  <c r="GR26" i="1"/>
  <c r="GR25" i="1"/>
  <c r="GR24" i="1"/>
  <c r="GR23" i="1"/>
  <c r="GR22" i="1"/>
  <c r="GR21" i="1"/>
  <c r="GR20" i="1"/>
  <c r="GR19" i="1"/>
  <c r="GR18" i="1"/>
  <c r="GR17" i="1"/>
  <c r="GR16" i="1"/>
  <c r="GR15" i="1"/>
  <c r="GR14" i="1"/>
  <c r="GR13" i="1"/>
  <c r="GR12" i="1"/>
  <c r="GR11" i="1"/>
  <c r="GR10" i="1"/>
  <c r="GR9" i="1"/>
  <c r="GR8" i="1"/>
  <c r="GR7" i="1"/>
  <c r="FS9" i="1"/>
  <c r="FS13" i="1"/>
  <c r="FS17" i="1"/>
  <c r="FS21" i="1"/>
  <c r="FS25" i="1"/>
  <c r="FS29" i="1"/>
  <c r="FS33" i="1"/>
  <c r="FS37" i="1"/>
  <c r="FQ42" i="1"/>
  <c r="FQ41" i="1"/>
  <c r="FQ40" i="1"/>
  <c r="FQ39" i="1"/>
  <c r="FQ37" i="1"/>
  <c r="FQ36" i="1"/>
  <c r="FS36" i="1" s="1"/>
  <c r="FQ35" i="1"/>
  <c r="FS35" i="1" s="1"/>
  <c r="FQ34" i="1"/>
  <c r="FS34" i="1" s="1"/>
  <c r="FQ33" i="1"/>
  <c r="FQ32" i="1"/>
  <c r="FS32" i="1" s="1"/>
  <c r="FQ31" i="1"/>
  <c r="FS31" i="1" s="1"/>
  <c r="FQ30" i="1"/>
  <c r="FS30" i="1" s="1"/>
  <c r="FQ29" i="1"/>
  <c r="FQ28" i="1"/>
  <c r="FS28" i="1" s="1"/>
  <c r="FQ27" i="1"/>
  <c r="FQ26" i="1"/>
  <c r="FS26" i="1" s="1"/>
  <c r="FQ25" i="1"/>
  <c r="FQ24" i="1"/>
  <c r="FS24" i="1" s="1"/>
  <c r="FQ23" i="1"/>
  <c r="FS23" i="1" s="1"/>
  <c r="FQ22" i="1"/>
  <c r="FS22" i="1" s="1"/>
  <c r="FQ21" i="1"/>
  <c r="FQ20" i="1"/>
  <c r="FS20" i="1" s="1"/>
  <c r="FQ19" i="1"/>
  <c r="FS19" i="1" s="1"/>
  <c r="FQ18" i="1"/>
  <c r="FS18" i="1" s="1"/>
  <c r="FQ17" i="1"/>
  <c r="FQ16" i="1"/>
  <c r="FS16" i="1" s="1"/>
  <c r="FQ15" i="1"/>
  <c r="FS15" i="1" s="1"/>
  <c r="FQ14" i="1"/>
  <c r="FS14" i="1" s="1"/>
  <c r="FQ13" i="1"/>
  <c r="FQ12" i="1"/>
  <c r="FS12" i="1" s="1"/>
  <c r="FQ11" i="1"/>
  <c r="FS11" i="1" s="1"/>
  <c r="FQ10" i="1"/>
  <c r="FS10" i="1" s="1"/>
  <c r="FQ9" i="1"/>
  <c r="FQ8" i="1"/>
  <c r="FS8" i="1" s="1"/>
  <c r="FQ7" i="1"/>
  <c r="FA12" i="1"/>
  <c r="FA16" i="1"/>
  <c r="FA20" i="1"/>
  <c r="FA24" i="1"/>
  <c r="FA28" i="1"/>
  <c r="FA32" i="1"/>
  <c r="FA36" i="1"/>
  <c r="FA40" i="1"/>
  <c r="EY42" i="1"/>
  <c r="FA42" i="1" s="1"/>
  <c r="EY41" i="1"/>
  <c r="FA41" i="1" s="1"/>
  <c r="EY40" i="1"/>
  <c r="EY39" i="1"/>
  <c r="EY37" i="1"/>
  <c r="EY36" i="1"/>
  <c r="EY35" i="1"/>
  <c r="FA35" i="1" s="1"/>
  <c r="EY34" i="1"/>
  <c r="FA34" i="1" s="1"/>
  <c r="EY33" i="1"/>
  <c r="FA33" i="1" s="1"/>
  <c r="EY32" i="1"/>
  <c r="EY31" i="1"/>
  <c r="FA31" i="1" s="1"/>
  <c r="EY30" i="1"/>
  <c r="FA30" i="1" s="1"/>
  <c r="EY29" i="1"/>
  <c r="FA29" i="1" s="1"/>
  <c r="EY28" i="1"/>
  <c r="EY27" i="1"/>
  <c r="FA27" i="1" s="1"/>
  <c r="EY26" i="1"/>
  <c r="FA26" i="1" s="1"/>
  <c r="EY25" i="1"/>
  <c r="FA25" i="1" s="1"/>
  <c r="EY24" i="1"/>
  <c r="EY23" i="1"/>
  <c r="FA23" i="1" s="1"/>
  <c r="EY22" i="1"/>
  <c r="FA22" i="1" s="1"/>
  <c r="EY21" i="1"/>
  <c r="FA21" i="1" s="1"/>
  <c r="EY20" i="1"/>
  <c r="EY19" i="1"/>
  <c r="FA19" i="1" s="1"/>
  <c r="EY18" i="1"/>
  <c r="FA18" i="1" s="1"/>
  <c r="EY17" i="1"/>
  <c r="FA17" i="1" s="1"/>
  <c r="EY16" i="1"/>
  <c r="EY15" i="1"/>
  <c r="FA15" i="1" s="1"/>
  <c r="EY14" i="1"/>
  <c r="FA14" i="1" s="1"/>
  <c r="EY13" i="1"/>
  <c r="FA13" i="1" s="1"/>
  <c r="EY12" i="1"/>
  <c r="EY11" i="1"/>
  <c r="EY10" i="1"/>
  <c r="EY9" i="1"/>
  <c r="EY8" i="1"/>
  <c r="EY7" i="1"/>
  <c r="EX8" i="1"/>
  <c r="EX12" i="1"/>
  <c r="EX16" i="1"/>
  <c r="EX20" i="1"/>
  <c r="EX24" i="1"/>
  <c r="EX25" i="1"/>
  <c r="EX28" i="1"/>
  <c r="EX29" i="1"/>
  <c r="EX32" i="1"/>
  <c r="EX33" i="1"/>
  <c r="EX36" i="1"/>
  <c r="EX37" i="1"/>
  <c r="EX41" i="1"/>
  <c r="EX42" i="1"/>
  <c r="EV42" i="1"/>
  <c r="EV41" i="1"/>
  <c r="EV40" i="1"/>
  <c r="EX40" i="1" s="1"/>
  <c r="EV39" i="1"/>
  <c r="EX39" i="1" s="1"/>
  <c r="EV37" i="1"/>
  <c r="EV36" i="1"/>
  <c r="EV35" i="1"/>
  <c r="EX35" i="1" s="1"/>
  <c r="EV34" i="1"/>
  <c r="EX34" i="1" s="1"/>
  <c r="EV33" i="1"/>
  <c r="EV32" i="1"/>
  <c r="EV31" i="1"/>
  <c r="EX31" i="1" s="1"/>
  <c r="EV30" i="1"/>
  <c r="EX30" i="1" s="1"/>
  <c r="EV28" i="1"/>
  <c r="EV29" i="1"/>
  <c r="EV27" i="1"/>
  <c r="EX27" i="1" s="1"/>
  <c r="EV26" i="1"/>
  <c r="EX26" i="1" s="1"/>
  <c r="EV25" i="1"/>
  <c r="EV24" i="1"/>
  <c r="EV22" i="1"/>
  <c r="EX22" i="1" s="1"/>
  <c r="EV23" i="1"/>
  <c r="EX23" i="1" s="1"/>
  <c r="EV21" i="1"/>
  <c r="EX21" i="1" s="1"/>
  <c r="EV20" i="1"/>
  <c r="EV19" i="1"/>
  <c r="EX19" i="1" s="1"/>
  <c r="EV18" i="1"/>
  <c r="EX18" i="1" s="1"/>
  <c r="EV17" i="1"/>
  <c r="EX17" i="1" s="1"/>
  <c r="EV16" i="1"/>
  <c r="EV15" i="1"/>
  <c r="EX15" i="1" s="1"/>
  <c r="EV14" i="1"/>
  <c r="EX14" i="1" s="1"/>
  <c r="EV13" i="1"/>
  <c r="EX13" i="1" s="1"/>
  <c r="EV12" i="1"/>
  <c r="EV11" i="1"/>
  <c r="EX11" i="1" s="1"/>
  <c r="EV10" i="1"/>
  <c r="EX10" i="1" s="1"/>
  <c r="EV9" i="1"/>
  <c r="EX9" i="1" s="1"/>
  <c r="EV8" i="1"/>
  <c r="EV7" i="1"/>
  <c r="EX7" i="1" s="1"/>
  <c r="FT25" i="1"/>
  <c r="FT22" i="1"/>
  <c r="FT21" i="1"/>
  <c r="FT20" i="1"/>
  <c r="FT17" i="1"/>
  <c r="FT16" i="1"/>
  <c r="FT14" i="1"/>
  <c r="FT10" i="1"/>
  <c r="FT34" i="1"/>
  <c r="FT41" i="1"/>
  <c r="FT40" i="1"/>
  <c r="GU10" i="1"/>
  <c r="GU21" i="1"/>
  <c r="GU20" i="1"/>
  <c r="GU17" i="1"/>
  <c r="GU16" i="1"/>
  <c r="GU14" i="1"/>
  <c r="GU22" i="1"/>
  <c r="GU25" i="1"/>
  <c r="GU34" i="1"/>
  <c r="GU40" i="1"/>
  <c r="GU41" i="1"/>
  <c r="HC7" i="1"/>
  <c r="HC8" i="1"/>
  <c r="HC11" i="1"/>
  <c r="HC12" i="1"/>
  <c r="HC16" i="1"/>
  <c r="HC19" i="1"/>
  <c r="HC21" i="1"/>
  <c r="HC23" i="1"/>
  <c r="HC29" i="1"/>
  <c r="HC30" i="1"/>
  <c r="HC35" i="1"/>
  <c r="HC36" i="1"/>
  <c r="HB33" i="1"/>
  <c r="HC33" i="1" s="1"/>
  <c r="HB39" i="1"/>
  <c r="HC39" i="1" s="1"/>
  <c r="HB29" i="1"/>
  <c r="HB25" i="1"/>
  <c r="HB17" i="1"/>
  <c r="HC17" i="1" s="1"/>
  <c r="HB14" i="1"/>
  <c r="HC14" i="1" s="1"/>
  <c r="HB37" i="1"/>
  <c r="HC37" i="1" s="1"/>
  <c r="HB35" i="1"/>
  <c r="HB34" i="1"/>
  <c r="HC34" i="1" s="1"/>
  <c r="HB32" i="1"/>
  <c r="HC32" i="1" s="1"/>
  <c r="HB30" i="1"/>
  <c r="HB28" i="1"/>
  <c r="HC28" i="1" s="1"/>
  <c r="HB27" i="1"/>
  <c r="HC27" i="1" s="1"/>
  <c r="HB26" i="1"/>
  <c r="HC26" i="1" s="1"/>
  <c r="HB24" i="1"/>
  <c r="HB23" i="1"/>
  <c r="HB22" i="1"/>
  <c r="HC22" i="1" s="1"/>
  <c r="HB20" i="1"/>
  <c r="HC20" i="1" s="1"/>
  <c r="HB19" i="1"/>
  <c r="HB16" i="1"/>
  <c r="HB15" i="1"/>
  <c r="HB13" i="1"/>
  <c r="HC13" i="1" s="1"/>
  <c r="HB12" i="1"/>
  <c r="HB11" i="1"/>
  <c r="HB10" i="1"/>
  <c r="HC10" i="1" s="1"/>
  <c r="HB9" i="1"/>
  <c r="HC9" i="1" s="1"/>
  <c r="HB8" i="1"/>
  <c r="HB42" i="1"/>
  <c r="HC42" i="1" s="1"/>
  <c r="HB41" i="1"/>
  <c r="HC41" i="1" s="1"/>
  <c r="HB40" i="1"/>
  <c r="HC40" i="1" s="1"/>
  <c r="GA21" i="1"/>
  <c r="GA33" i="1"/>
  <c r="GA39" i="1"/>
  <c r="GA29" i="1"/>
  <c r="GA37" i="1"/>
  <c r="GA36" i="1"/>
  <c r="GA35" i="1"/>
  <c r="GA34" i="1"/>
  <c r="GA32" i="1"/>
  <c r="GA31" i="1"/>
  <c r="GA28" i="1"/>
  <c r="GA27" i="1"/>
  <c r="GA24" i="1"/>
  <c r="GA22" i="1"/>
  <c r="GA20" i="1"/>
  <c r="GA19" i="1"/>
  <c r="GA16" i="1"/>
  <c r="GA13" i="1"/>
  <c r="GA18" i="1"/>
  <c r="GA12" i="1"/>
  <c r="GA11" i="1"/>
  <c r="GA7" i="1"/>
  <c r="GA40" i="1"/>
  <c r="FZ42" i="1"/>
  <c r="FZ41" i="1"/>
  <c r="FZ40" i="1"/>
  <c r="FZ39" i="1"/>
  <c r="FZ37" i="1"/>
  <c r="FZ36" i="1"/>
  <c r="FZ35" i="1"/>
  <c r="FZ34" i="1"/>
  <c r="FZ33" i="1"/>
  <c r="FZ32" i="1"/>
  <c r="FZ31" i="1"/>
  <c r="FZ30" i="1"/>
  <c r="FZ29" i="1"/>
  <c r="FZ28" i="1"/>
  <c r="FZ27" i="1"/>
  <c r="FZ26" i="1"/>
  <c r="FZ25" i="1"/>
  <c r="FZ24" i="1"/>
  <c r="FZ23" i="1"/>
  <c r="FZ22" i="1"/>
  <c r="FZ21" i="1"/>
  <c r="FZ20" i="1"/>
  <c r="FZ19" i="1"/>
  <c r="FZ18" i="1"/>
  <c r="FZ17" i="1"/>
  <c r="FZ16" i="1"/>
  <c r="FZ15" i="1"/>
  <c r="FZ14" i="1"/>
  <c r="FZ13" i="1"/>
  <c r="FZ12" i="1"/>
  <c r="FZ11" i="1"/>
  <c r="FZ10" i="1"/>
  <c r="FZ9" i="1"/>
  <c r="FZ8" i="1"/>
  <c r="FZ7" i="1"/>
  <c r="FK37" i="1"/>
  <c r="FK36" i="1"/>
  <c r="FK35" i="1"/>
  <c r="FK34" i="1"/>
  <c r="FK33" i="1"/>
  <c r="FK32" i="1"/>
  <c r="FK31" i="1"/>
  <c r="FK30" i="1"/>
  <c r="FK29" i="1"/>
  <c r="FK28" i="1"/>
  <c r="FK27" i="1"/>
  <c r="FK26" i="1"/>
  <c r="FK25" i="1"/>
  <c r="FK24" i="1"/>
  <c r="FK23" i="1"/>
  <c r="FK22" i="1"/>
  <c r="FK21" i="1"/>
  <c r="FK20" i="1"/>
  <c r="FK19" i="1"/>
  <c r="FK18" i="1"/>
  <c r="FK17" i="1"/>
  <c r="FK16" i="1"/>
  <c r="FK15" i="1"/>
  <c r="FK14" i="1"/>
  <c r="FK13" i="1"/>
  <c r="FK12" i="1"/>
  <c r="FK11" i="1"/>
  <c r="FK10" i="1"/>
  <c r="FK9" i="1"/>
  <c r="FK8" i="1"/>
  <c r="FK7" i="1"/>
  <c r="HF8" i="1"/>
  <c r="HF12" i="1"/>
  <c r="HF16" i="1"/>
  <c r="HF20" i="1"/>
  <c r="HF24" i="1"/>
  <c r="HF28" i="1"/>
  <c r="HF32" i="1"/>
  <c r="HF36" i="1"/>
  <c r="HD37" i="1"/>
  <c r="HF37" i="1" s="1"/>
  <c r="HD36" i="1"/>
  <c r="HD35" i="1"/>
  <c r="HF35" i="1" s="1"/>
  <c r="HD34" i="1"/>
  <c r="HF34" i="1" s="1"/>
  <c r="HD33" i="1"/>
  <c r="HF33" i="1" s="1"/>
  <c r="HD32" i="1"/>
  <c r="HD31" i="1"/>
  <c r="HF31" i="1" s="1"/>
  <c r="HD30" i="1"/>
  <c r="HF30" i="1" s="1"/>
  <c r="HD29" i="1"/>
  <c r="HF29" i="1" s="1"/>
  <c r="HD28" i="1"/>
  <c r="HD27" i="1"/>
  <c r="HF27" i="1" s="1"/>
  <c r="HD26" i="1"/>
  <c r="HF26" i="1" s="1"/>
  <c r="HD25" i="1"/>
  <c r="HF25" i="1" s="1"/>
  <c r="HD24" i="1"/>
  <c r="HD23" i="1"/>
  <c r="HF23" i="1" s="1"/>
  <c r="HD22" i="1"/>
  <c r="HF22" i="1" s="1"/>
  <c r="HD21" i="1"/>
  <c r="HF21" i="1" s="1"/>
  <c r="HD20" i="1"/>
  <c r="HD19" i="1"/>
  <c r="HF19" i="1" s="1"/>
  <c r="HD18" i="1"/>
  <c r="HF18" i="1" s="1"/>
  <c r="HD17" i="1"/>
  <c r="HF17" i="1" s="1"/>
  <c r="HD16" i="1"/>
  <c r="HD15" i="1"/>
  <c r="HF15" i="1" s="1"/>
  <c r="HD14" i="1"/>
  <c r="HF14" i="1" s="1"/>
  <c r="HD13" i="1"/>
  <c r="HF13" i="1" s="1"/>
  <c r="HD12" i="1"/>
  <c r="HD11" i="1"/>
  <c r="HF11" i="1" s="1"/>
  <c r="HD10" i="1"/>
  <c r="HF10" i="1" s="1"/>
  <c r="HD9" i="1"/>
  <c r="HF9" i="1" s="1"/>
  <c r="HD8" i="1"/>
  <c r="HD7" i="1"/>
  <c r="HF7" i="1" s="1"/>
  <c r="FX21" i="1"/>
  <c r="FX33" i="1"/>
  <c r="FX39" i="1"/>
  <c r="FX29" i="1"/>
  <c r="FX25" i="1"/>
  <c r="FX17" i="1"/>
  <c r="FX14" i="1"/>
  <c r="FX37" i="1"/>
  <c r="FX36" i="1"/>
  <c r="FX35" i="1"/>
  <c r="FX34" i="1"/>
  <c r="FX32" i="1"/>
  <c r="FX31" i="1"/>
  <c r="FX30" i="1"/>
  <c r="FX28" i="1"/>
  <c r="FX27" i="1"/>
  <c r="FX26" i="1"/>
  <c r="FX24" i="1"/>
  <c r="FX23" i="1"/>
  <c r="FX22" i="1"/>
  <c r="FX20" i="1"/>
  <c r="FX19" i="1"/>
  <c r="FX16" i="1"/>
  <c r="FX13" i="1"/>
  <c r="FX18" i="1"/>
  <c r="FX12" i="1"/>
  <c r="FX11" i="1"/>
  <c r="FX10" i="1"/>
  <c r="FX9" i="1"/>
  <c r="FX8" i="1"/>
  <c r="FX7" i="1"/>
  <c r="FX41" i="1"/>
  <c r="FX40" i="1"/>
  <c r="FW37" i="1"/>
  <c r="FW36" i="1"/>
  <c r="FW35" i="1"/>
  <c r="FW34" i="1"/>
  <c r="FW33" i="1"/>
  <c r="FW32" i="1"/>
  <c r="FW31" i="1"/>
  <c r="FW30" i="1"/>
  <c r="FW29" i="1"/>
  <c r="FW28" i="1"/>
  <c r="FW27" i="1"/>
  <c r="FW26" i="1"/>
  <c r="FW25" i="1"/>
  <c r="FW24" i="1"/>
  <c r="FW23" i="1"/>
  <c r="FW22" i="1"/>
  <c r="FW21" i="1"/>
  <c r="FW20" i="1"/>
  <c r="FW19" i="1"/>
  <c r="FW18" i="1"/>
  <c r="FW17" i="1"/>
  <c r="FW16" i="1"/>
  <c r="FW15" i="1"/>
  <c r="FW14" i="1"/>
  <c r="FW13" i="1"/>
  <c r="FW12" i="1"/>
  <c r="FW11" i="1"/>
  <c r="FW10" i="1"/>
  <c r="FW9" i="1"/>
  <c r="FW8" i="1"/>
  <c r="FW7" i="1"/>
  <c r="FW42" i="1"/>
  <c r="FW41" i="1"/>
  <c r="FW40" i="1"/>
  <c r="FW39" i="1"/>
  <c r="EG37" i="1"/>
  <c r="EG36" i="1"/>
  <c r="EG35" i="1"/>
  <c r="EI35" i="1" s="1"/>
  <c r="EG34" i="1"/>
  <c r="EG33" i="1"/>
  <c r="EG32" i="1"/>
  <c r="EG31" i="1"/>
  <c r="EI31" i="1" s="1"/>
  <c r="EG30" i="1"/>
  <c r="EG29" i="1"/>
  <c r="EG28" i="1"/>
  <c r="EG27" i="1"/>
  <c r="EG26" i="1"/>
  <c r="EG25" i="1"/>
  <c r="EG24" i="1"/>
  <c r="EG23" i="1"/>
  <c r="EI23" i="1" s="1"/>
  <c r="EG22" i="1"/>
  <c r="EG21" i="1"/>
  <c r="EG20" i="1"/>
  <c r="EG19" i="1"/>
  <c r="EG18" i="1"/>
  <c r="EI18" i="1" s="1"/>
  <c r="EG17" i="1"/>
  <c r="EG16" i="1"/>
  <c r="EG15" i="1"/>
  <c r="EI15" i="1" s="1"/>
  <c r="EG14" i="1"/>
  <c r="EI14" i="1" s="1"/>
  <c r="EG13" i="1"/>
  <c r="EG12" i="1"/>
  <c r="EG11" i="1"/>
  <c r="EG10" i="1"/>
  <c r="EG9" i="1"/>
  <c r="EG8" i="1"/>
  <c r="EG7" i="1"/>
  <c r="EG42" i="1"/>
  <c r="EI42" i="1" s="1"/>
  <c r="EG41" i="1"/>
  <c r="EG40" i="1"/>
  <c r="EI40" i="1" s="1"/>
  <c r="EG39" i="1"/>
  <c r="EI8" i="1"/>
  <c r="EI12" i="1"/>
  <c r="EI16" i="1"/>
  <c r="EI17" i="1"/>
  <c r="EI20" i="1"/>
  <c r="EI21" i="1"/>
  <c r="EI22" i="1"/>
  <c r="EI25" i="1"/>
  <c r="EI26" i="1"/>
  <c r="EI28" i="1"/>
  <c r="EI29" i="1"/>
  <c r="EI32" i="1"/>
  <c r="EI33" i="1"/>
  <c r="EI34" i="1"/>
  <c r="EI36" i="1"/>
  <c r="EI37" i="1"/>
  <c r="EI39" i="1"/>
  <c r="EI41" i="1"/>
  <c r="EH30" i="1"/>
  <c r="EI30" i="1" s="1"/>
  <c r="EH27" i="1"/>
  <c r="EI27" i="1" s="1"/>
  <c r="EH24" i="1"/>
  <c r="EI24" i="1" s="1"/>
  <c r="EH22" i="1"/>
  <c r="EH19" i="1"/>
  <c r="EI19" i="1" s="1"/>
  <c r="EH16" i="1"/>
  <c r="EH13" i="1"/>
  <c r="EI13" i="1" s="1"/>
  <c r="EH11" i="1"/>
  <c r="EH10" i="1"/>
  <c r="EI10" i="1" s="1"/>
  <c r="EH9" i="1"/>
  <c r="EI9" i="1" s="1"/>
  <c r="EH8" i="1"/>
  <c r="EH7" i="1"/>
  <c r="HB38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9" i="1"/>
  <c r="O40" i="1"/>
  <c r="O41" i="1"/>
  <c r="O42" i="1"/>
  <c r="O43" i="1"/>
  <c r="N43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41" i="1"/>
  <c r="AL40" i="1"/>
  <c r="AL39" i="1"/>
  <c r="AL38" i="1" s="1"/>
  <c r="AX41" i="1"/>
  <c r="DO18" i="1"/>
  <c r="DX41" i="1"/>
  <c r="DX10" i="1"/>
  <c r="DR37" i="1"/>
  <c r="DT37" i="1" s="1"/>
  <c r="DR35" i="1"/>
  <c r="DR34" i="1"/>
  <c r="DT34" i="1" s="1"/>
  <c r="DR32" i="1"/>
  <c r="DT32" i="1" s="1"/>
  <c r="DR31" i="1"/>
  <c r="DT31" i="1" s="1"/>
  <c r="DR29" i="1"/>
  <c r="DR27" i="1"/>
  <c r="DT27" i="1" s="1"/>
  <c r="DR25" i="1"/>
  <c r="DT25" i="1" s="1"/>
  <c r="DR23" i="1"/>
  <c r="DT23" i="1" s="1"/>
  <c r="DR22" i="1"/>
  <c r="DR11" i="1"/>
  <c r="DT11" i="1" s="1"/>
  <c r="DR10" i="1"/>
  <c r="DT10" i="1" s="1"/>
  <c r="DT22" i="1"/>
  <c r="DT29" i="1"/>
  <c r="DT35" i="1"/>
  <c r="CA11" i="1"/>
  <c r="CA14" i="1"/>
  <c r="CA15" i="1"/>
  <c r="CA17" i="1"/>
  <c r="CA21" i="1"/>
  <c r="CA25" i="1"/>
  <c r="CA27" i="1"/>
  <c r="CA28" i="1"/>
  <c r="CA29" i="1"/>
  <c r="CA31" i="1"/>
  <c r="CA32" i="1"/>
  <c r="CA33" i="1"/>
  <c r="CA34" i="1"/>
  <c r="CA35" i="1"/>
  <c r="CA37" i="1"/>
  <c r="CA42" i="1"/>
  <c r="BZ6" i="1"/>
  <c r="EU44" i="1" l="1"/>
  <c r="EI11" i="1"/>
  <c r="HC15" i="1"/>
  <c r="FS27" i="1"/>
  <c r="HC24" i="1"/>
  <c r="HC25" i="1"/>
  <c r="HB6" i="1"/>
  <c r="HB44" i="1" s="1"/>
  <c r="HA44" i="1"/>
  <c r="HC44" i="1" s="1"/>
  <c r="BY7" i="1"/>
  <c r="CA7" i="1" s="1"/>
  <c r="DU41" i="1"/>
  <c r="AR34" i="1"/>
  <c r="AR6" i="1" s="1"/>
  <c r="DL37" i="1"/>
  <c r="DL35" i="1"/>
  <c r="DL32" i="1"/>
  <c r="DL29" i="1"/>
  <c r="DL23" i="1"/>
  <c r="DL19" i="1"/>
  <c r="DL18" i="1"/>
  <c r="DL15" i="1"/>
  <c r="DL14" i="1"/>
  <c r="DL12" i="1"/>
  <c r="DL10" i="1"/>
  <c r="DL8" i="1"/>
  <c r="BA39" i="1"/>
  <c r="N39" i="1" s="1"/>
  <c r="DI42" i="1"/>
  <c r="DI41" i="1"/>
  <c r="DI40" i="1"/>
  <c r="DI39" i="1"/>
  <c r="DI37" i="1"/>
  <c r="DI36" i="1"/>
  <c r="DI35" i="1"/>
  <c r="DI34" i="1"/>
  <c r="DI33" i="1"/>
  <c r="DI32" i="1"/>
  <c r="DI31" i="1"/>
  <c r="DI30" i="1"/>
  <c r="DI29" i="1"/>
  <c r="DI28" i="1"/>
  <c r="DI27" i="1"/>
  <c r="DI26" i="1"/>
  <c r="DI25" i="1"/>
  <c r="DI24" i="1"/>
  <c r="DI23" i="1"/>
  <c r="DI22" i="1"/>
  <c r="DI21" i="1"/>
  <c r="DI20" i="1"/>
  <c r="DI19" i="1"/>
  <c r="DI18" i="1"/>
  <c r="DI17" i="1"/>
  <c r="DI16" i="1"/>
  <c r="DI15" i="1"/>
  <c r="DI14" i="1"/>
  <c r="DI13" i="1"/>
  <c r="DI11" i="1"/>
  <c r="DI10" i="1"/>
  <c r="DI9" i="1"/>
  <c r="DI8" i="1"/>
  <c r="DI7" i="1"/>
  <c r="BS35" i="1"/>
  <c r="AX38" i="1"/>
  <c r="DX33" i="1"/>
  <c r="DX31" i="1"/>
  <c r="DX11" i="1"/>
  <c r="BP41" i="1"/>
  <c r="CH23" i="1"/>
  <c r="CW42" i="1"/>
  <c r="N42" i="1" s="1"/>
  <c r="CW41" i="1"/>
  <c r="CW40" i="1"/>
  <c r="CW39" i="1"/>
  <c r="CW37" i="1"/>
  <c r="CW36" i="1"/>
  <c r="CW35" i="1"/>
  <c r="CW34" i="1"/>
  <c r="CW33" i="1"/>
  <c r="CW32" i="1"/>
  <c r="CW31" i="1"/>
  <c r="CW29" i="1"/>
  <c r="CW28" i="1"/>
  <c r="CW27" i="1"/>
  <c r="CW25" i="1"/>
  <c r="CW23" i="1"/>
  <c r="CW22" i="1"/>
  <c r="CW21" i="1"/>
  <c r="CW19" i="1"/>
  <c r="CW18" i="1"/>
  <c r="CW17" i="1"/>
  <c r="CW13" i="1"/>
  <c r="CW12" i="1"/>
  <c r="CW11" i="1"/>
  <c r="CW10" i="1"/>
  <c r="CW9" i="1"/>
  <c r="CW8" i="1"/>
  <c r="CW7" i="1"/>
  <c r="T18" i="1"/>
  <c r="T37" i="1"/>
  <c r="W35" i="1"/>
  <c r="W34" i="1"/>
  <c r="W28" i="1"/>
  <c r="W27" i="1"/>
  <c r="W26" i="1"/>
  <c r="W25" i="1"/>
  <c r="W24" i="1"/>
  <c r="W23" i="1"/>
  <c r="W21" i="1"/>
  <c r="W20" i="1"/>
  <c r="W19" i="1"/>
  <c r="W14" i="1"/>
  <c r="W13" i="1"/>
  <c r="W11" i="1"/>
  <c r="W9" i="1"/>
  <c r="BG28" i="1"/>
  <c r="BG27" i="1"/>
  <c r="BG26" i="1"/>
  <c r="BG24" i="1"/>
  <c r="BG23" i="1"/>
  <c r="BG22" i="1"/>
  <c r="BG32" i="1"/>
  <c r="BG35" i="1"/>
  <c r="BG21" i="1"/>
  <c r="BG20" i="1"/>
  <c r="BG13" i="1"/>
  <c r="BG11" i="1"/>
  <c r="BG8" i="1"/>
  <c r="BG9" i="1"/>
  <c r="BG7" i="1"/>
  <c r="BD41" i="1"/>
  <c r="BD38" i="1" s="1"/>
  <c r="BD37" i="1"/>
  <c r="BD35" i="1"/>
  <c r="BD34" i="1"/>
  <c r="BD31" i="1"/>
  <c r="BD29" i="1"/>
  <c r="BD27" i="1"/>
  <c r="BD26" i="1"/>
  <c r="BD25" i="1"/>
  <c r="BD24" i="1"/>
  <c r="BD23" i="1"/>
  <c r="BD21" i="1"/>
  <c r="BD20" i="1"/>
  <c r="BD19" i="1"/>
  <c r="BD18" i="1"/>
  <c r="BD16" i="1"/>
  <c r="BD13" i="1"/>
  <c r="BD12" i="1"/>
  <c r="BD11" i="1"/>
  <c r="BD9" i="1"/>
  <c r="BD8" i="1"/>
  <c r="BD7" i="1"/>
  <c r="W41" i="1"/>
  <c r="CQ37" i="1"/>
  <c r="CQ34" i="1"/>
  <c r="CQ33" i="1"/>
  <c r="CQ32" i="1"/>
  <c r="CQ31" i="1"/>
  <c r="CQ28" i="1"/>
  <c r="CQ27" i="1"/>
  <c r="CQ21" i="1"/>
  <c r="CQ20" i="1"/>
  <c r="CQ19" i="1"/>
  <c r="CQ15" i="1"/>
  <c r="CQ11" i="1"/>
  <c r="CQ8" i="1"/>
  <c r="CQ39" i="1"/>
  <c r="BM15" i="1"/>
  <c r="BM30" i="1"/>
  <c r="BM31" i="1"/>
  <c r="CN29" i="1"/>
  <c r="CN27" i="1"/>
  <c r="CN26" i="1"/>
  <c r="CN25" i="1"/>
  <c r="CN24" i="1"/>
  <c r="CN23" i="1"/>
  <c r="CN22" i="1"/>
  <c r="CN18" i="1"/>
  <c r="CN17" i="1"/>
  <c r="CN16" i="1"/>
  <c r="CN15" i="1"/>
  <c r="CN14" i="1"/>
  <c r="CN13" i="1"/>
  <c r="CN11" i="1"/>
  <c r="CN10" i="1"/>
  <c r="CN9" i="1"/>
  <c r="CN8" i="1"/>
  <c r="CN7" i="1"/>
  <c r="CN35" i="1"/>
  <c r="CN34" i="1"/>
  <c r="CN33" i="1"/>
  <c r="CN37" i="1"/>
  <c r="CN41" i="1"/>
  <c r="CN40" i="1"/>
  <c r="CN39" i="1"/>
  <c r="EA24" i="1"/>
  <c r="EA21" i="1"/>
  <c r="EA11" i="1"/>
  <c r="EA10" i="1"/>
  <c r="EA8" i="1"/>
  <c r="EA41" i="1"/>
  <c r="AU37" i="1"/>
  <c r="AU35" i="1"/>
  <c r="AU34" i="1"/>
  <c r="AU33" i="1"/>
  <c r="AU32" i="1"/>
  <c r="AU31" i="1"/>
  <c r="AU30" i="1"/>
  <c r="AU29" i="1"/>
  <c r="AU27" i="1"/>
  <c r="AU26" i="1"/>
  <c r="AU25" i="1"/>
  <c r="AU23" i="1"/>
  <c r="AU22" i="1"/>
  <c r="AU21" i="1"/>
  <c r="AU20" i="1"/>
  <c r="AU19" i="1"/>
  <c r="AU18" i="1"/>
  <c r="AU16" i="1"/>
  <c r="AU14" i="1"/>
  <c r="AU13" i="1"/>
  <c r="AU12" i="1"/>
  <c r="AU10" i="1"/>
  <c r="AU9" i="1"/>
  <c r="AU7" i="1"/>
  <c r="BJ39" i="1"/>
  <c r="CT37" i="1"/>
  <c r="CT33" i="1"/>
  <c r="CT32" i="1"/>
  <c r="CT29" i="1"/>
  <c r="CT28" i="1"/>
  <c r="CT27" i="1"/>
  <c r="CT25" i="1"/>
  <c r="CT24" i="1"/>
  <c r="CT17" i="1"/>
  <c r="CT16" i="1"/>
  <c r="CT11" i="1"/>
  <c r="CT41" i="1"/>
  <c r="CT40" i="1"/>
  <c r="Q37" i="1"/>
  <c r="Q36" i="1"/>
  <c r="N36" i="1" s="1"/>
  <c r="Q35" i="1"/>
  <c r="Q34" i="1"/>
  <c r="Q33" i="1"/>
  <c r="Q32" i="1"/>
  <c r="N32" i="1" s="1"/>
  <c r="Q31" i="1"/>
  <c r="Q30" i="1"/>
  <c r="Q29" i="1"/>
  <c r="Q28" i="1"/>
  <c r="N28" i="1" s="1"/>
  <c r="Q27" i="1"/>
  <c r="Q26" i="1"/>
  <c r="Q25" i="1"/>
  <c r="Q24" i="1"/>
  <c r="N24" i="1" s="1"/>
  <c r="Q23" i="1"/>
  <c r="Q22" i="1"/>
  <c r="Q21" i="1"/>
  <c r="Q20" i="1"/>
  <c r="N20" i="1" s="1"/>
  <c r="Q19" i="1"/>
  <c r="Q18" i="1"/>
  <c r="Q17" i="1"/>
  <c r="Q16" i="1"/>
  <c r="N16" i="1" s="1"/>
  <c r="Q14" i="1"/>
  <c r="Q13" i="1"/>
  <c r="Q12" i="1"/>
  <c r="Q11" i="1"/>
  <c r="N11" i="1" s="1"/>
  <c r="Q10" i="1"/>
  <c r="Q9" i="1"/>
  <c r="Q8" i="1"/>
  <c r="Q7" i="1"/>
  <c r="N7" i="1" s="1"/>
  <c r="Q40" i="1"/>
  <c r="DC41" i="1"/>
  <c r="DC37" i="1"/>
  <c r="DC35" i="1"/>
  <c r="DC34" i="1"/>
  <c r="DC32" i="1"/>
  <c r="DC31" i="1"/>
  <c r="DC29" i="1"/>
  <c r="DC27" i="1"/>
  <c r="DC26" i="1"/>
  <c r="DC24" i="1"/>
  <c r="DC23" i="1"/>
  <c r="DC22" i="1"/>
  <c r="DC19" i="1"/>
  <c r="DC17" i="1"/>
  <c r="DC13" i="1"/>
  <c r="DC12" i="1"/>
  <c r="DC9" i="1"/>
  <c r="DF41" i="1"/>
  <c r="AF15" i="1"/>
  <c r="CZ37" i="1"/>
  <c r="CZ36" i="1"/>
  <c r="DB36" i="1" s="1"/>
  <c r="CZ35" i="1"/>
  <c r="DB35" i="1" s="1"/>
  <c r="CZ34" i="1"/>
  <c r="CZ33" i="1"/>
  <c r="DB33" i="1" s="1"/>
  <c r="CZ32" i="1"/>
  <c r="CZ29" i="1"/>
  <c r="DB29" i="1" s="1"/>
  <c r="CZ26" i="1"/>
  <c r="DB26" i="1" s="1"/>
  <c r="CZ25" i="1"/>
  <c r="DB25" i="1" s="1"/>
  <c r="CZ24" i="1"/>
  <c r="DB24" i="1" s="1"/>
  <c r="CZ23" i="1"/>
  <c r="DB23" i="1" s="1"/>
  <c r="CZ22" i="1"/>
  <c r="DB22" i="1" s="1"/>
  <c r="CZ21" i="1"/>
  <c r="CZ19" i="1"/>
  <c r="DB19" i="1" s="1"/>
  <c r="CZ18" i="1"/>
  <c r="DB18" i="1" s="1"/>
  <c r="CZ17" i="1"/>
  <c r="DB17" i="1" s="1"/>
  <c r="CZ16" i="1"/>
  <c r="DB16" i="1" s="1"/>
  <c r="CZ13" i="1"/>
  <c r="DB13" i="1" s="1"/>
  <c r="CZ11" i="1"/>
  <c r="DB11" i="1" s="1"/>
  <c r="CZ10" i="1"/>
  <c r="DB10" i="1" s="1"/>
  <c r="CZ7" i="1"/>
  <c r="DB7" i="1" s="1"/>
  <c r="DB21" i="1"/>
  <c r="DB32" i="1"/>
  <c r="DB34" i="1"/>
  <c r="DB37" i="1"/>
  <c r="Z11" i="1"/>
  <c r="Z14" i="1"/>
  <c r="Z34" i="1"/>
  <c r="Z35" i="1"/>
  <c r="Z41" i="1"/>
  <c r="AB41" i="1" s="1"/>
  <c r="AC15" i="1"/>
  <c r="N15" i="1" s="1"/>
  <c r="N8" i="1" l="1"/>
  <c r="N12" i="1"/>
  <c r="N17" i="1"/>
  <c r="N21" i="1"/>
  <c r="N25" i="1"/>
  <c r="N29" i="1"/>
  <c r="P29" i="1" s="1"/>
  <c r="N33" i="1"/>
  <c r="N37" i="1"/>
  <c r="N41" i="1"/>
  <c r="P41" i="1" s="1"/>
  <c r="N9" i="1"/>
  <c r="N13" i="1"/>
  <c r="N18" i="1"/>
  <c r="N22" i="1"/>
  <c r="N26" i="1"/>
  <c r="N30" i="1"/>
  <c r="N34" i="1"/>
  <c r="P34" i="1" s="1"/>
  <c r="N40" i="1"/>
  <c r="N10" i="1"/>
  <c r="P10" i="1" s="1"/>
  <c r="N14" i="1"/>
  <c r="N19" i="1"/>
  <c r="N23" i="1"/>
  <c r="N27" i="1"/>
  <c r="P27" i="1" s="1"/>
  <c r="N31" i="1"/>
  <c r="N35" i="1"/>
  <c r="HC6" i="1"/>
  <c r="BY6" i="1"/>
  <c r="CA6" i="1" s="1"/>
  <c r="P40" i="1"/>
  <c r="P42" i="1"/>
  <c r="P39" i="1"/>
  <c r="P35" i="1"/>
  <c r="P8" i="1"/>
  <c r="P33" i="1"/>
  <c r="P28" i="1"/>
  <c r="P22" i="1"/>
  <c r="P16" i="1"/>
  <c r="P20" i="1"/>
  <c r="P17" i="1"/>
  <c r="P37" i="1"/>
  <c r="P32" i="1"/>
  <c r="P21" i="1"/>
  <c r="P15" i="1"/>
  <c r="P23" i="1"/>
  <c r="P13" i="1"/>
  <c r="P36" i="1"/>
  <c r="P30" i="1"/>
  <c r="P24" i="1"/>
  <c r="P18" i="1"/>
  <c r="P9" i="1"/>
  <c r="P19" i="1"/>
  <c r="P31" i="1"/>
  <c r="P7" i="1"/>
  <c r="P12" i="1" l="1"/>
  <c r="P14" i="1"/>
  <c r="P11" i="1"/>
  <c r="P26" i="1"/>
  <c r="P25" i="1"/>
  <c r="F6" i="1"/>
  <c r="F38" i="1"/>
  <c r="B43" i="1"/>
  <c r="C7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9" i="1"/>
  <c r="C40" i="1"/>
  <c r="C41" i="1"/>
  <c r="C42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9" i="1"/>
  <c r="B40" i="1"/>
  <c r="B41" i="1"/>
  <c r="B42" i="1"/>
  <c r="D40" i="1" l="1"/>
  <c r="IT40" i="1"/>
  <c r="IT42" i="1"/>
  <c r="D42" i="1"/>
  <c r="IT41" i="1"/>
  <c r="D41" i="1"/>
  <c r="IT39" i="1"/>
  <c r="D39" i="1"/>
  <c r="IT37" i="1"/>
  <c r="D37" i="1"/>
  <c r="IT29" i="1"/>
  <c r="D29" i="1"/>
  <c r="IT21" i="1"/>
  <c r="D21" i="1"/>
  <c r="IT13" i="1"/>
  <c r="D13" i="1"/>
  <c r="D35" i="1"/>
  <c r="IT35" i="1"/>
  <c r="D31" i="1"/>
  <c r="IT31" i="1"/>
  <c r="D27" i="1"/>
  <c r="IT27" i="1"/>
  <c r="D23" i="1"/>
  <c r="IT23" i="1"/>
  <c r="D19" i="1"/>
  <c r="IT19" i="1"/>
  <c r="D15" i="1"/>
  <c r="IT15" i="1"/>
  <c r="D11" i="1"/>
  <c r="IT11" i="1"/>
  <c r="D34" i="1"/>
  <c r="IT34" i="1"/>
  <c r="D30" i="1"/>
  <c r="IT30" i="1"/>
  <c r="D26" i="1"/>
  <c r="IT26" i="1"/>
  <c r="D22" i="1"/>
  <c r="IT22" i="1"/>
  <c r="D18" i="1"/>
  <c r="IT18" i="1"/>
  <c r="D14" i="1"/>
  <c r="IT14" i="1"/>
  <c r="D10" i="1"/>
  <c r="IT10" i="1"/>
  <c r="IT33" i="1"/>
  <c r="D33" i="1"/>
  <c r="IT25" i="1"/>
  <c r="D25" i="1"/>
  <c r="IT17" i="1"/>
  <c r="D17" i="1"/>
  <c r="IT9" i="1"/>
  <c r="D9" i="1"/>
  <c r="IT36" i="1"/>
  <c r="D36" i="1"/>
  <c r="IT32" i="1"/>
  <c r="D32" i="1"/>
  <c r="IT28" i="1"/>
  <c r="D28" i="1"/>
  <c r="IT24" i="1"/>
  <c r="D24" i="1"/>
  <c r="IT20" i="1"/>
  <c r="D20" i="1"/>
  <c r="IT16" i="1"/>
  <c r="D16" i="1"/>
  <c r="IT12" i="1"/>
  <c r="D12" i="1"/>
  <c r="IT8" i="1"/>
  <c r="D8" i="1"/>
  <c r="D7" i="1"/>
  <c r="IT7" i="1"/>
  <c r="HZ38" i="1"/>
  <c r="HY38" i="1"/>
  <c r="HE38" i="1" l="1"/>
  <c r="HD38" i="1"/>
  <c r="GT8" i="1"/>
  <c r="GT9" i="1"/>
  <c r="GT30" i="1"/>
  <c r="GT40" i="1"/>
  <c r="GT42" i="1"/>
  <c r="FA37" i="1"/>
  <c r="EG6" i="1"/>
  <c r="DX38" i="1" l="1"/>
  <c r="DY38" i="1"/>
  <c r="DZ41" i="1"/>
  <c r="EC11" i="1"/>
  <c r="CO38" i="1" l="1"/>
  <c r="CN38" i="1"/>
  <c r="AW32" i="1"/>
  <c r="AW31" i="1"/>
  <c r="K38" i="1"/>
  <c r="CF6" i="1" l="1"/>
  <c r="CE6" i="1"/>
  <c r="CE44" i="1" l="1"/>
  <c r="CF44" i="1"/>
  <c r="CG44" i="1" l="1"/>
  <c r="FL38" i="1" l="1"/>
  <c r="FK38" i="1" l="1"/>
  <c r="FM37" i="1"/>
  <c r="FM36" i="1"/>
  <c r="FM35" i="1"/>
  <c r="FM34" i="1"/>
  <c r="FM33" i="1"/>
  <c r="FM32" i="1"/>
  <c r="FM31" i="1"/>
  <c r="FM30" i="1"/>
  <c r="FM29" i="1"/>
  <c r="FM28" i="1"/>
  <c r="FM27" i="1"/>
  <c r="FM26" i="1"/>
  <c r="FM25" i="1"/>
  <c r="FM24" i="1"/>
  <c r="FM23" i="1"/>
  <c r="FM22" i="1"/>
  <c r="FM21" i="1"/>
  <c r="FM20" i="1"/>
  <c r="FM19" i="1"/>
  <c r="FM18" i="1"/>
  <c r="FM17" i="1"/>
  <c r="FM16" i="1"/>
  <c r="FM15" i="1"/>
  <c r="FM14" i="1"/>
  <c r="FM13" i="1"/>
  <c r="FM12" i="1"/>
  <c r="FM11" i="1"/>
  <c r="FM10" i="1"/>
  <c r="FM9" i="1"/>
  <c r="FM8" i="1"/>
  <c r="FM7" i="1"/>
  <c r="FL6" i="1"/>
  <c r="FL44" i="1" s="1"/>
  <c r="FK6" i="1"/>
  <c r="EA38" i="1"/>
  <c r="EB38" i="1"/>
  <c r="FK44" i="1" l="1"/>
  <c r="FM6" i="1"/>
  <c r="EC24" i="1"/>
  <c r="EC21" i="1"/>
  <c r="EC10" i="1"/>
  <c r="EC8" i="1"/>
  <c r="EB6" i="1"/>
  <c r="EA6" i="1"/>
  <c r="FM44" i="1" l="1"/>
  <c r="EB44" i="1"/>
  <c r="EC6" i="1"/>
  <c r="EA44" i="1"/>
  <c r="DG38" i="1"/>
  <c r="DF38" i="1"/>
  <c r="DG6" i="1"/>
  <c r="DF6" i="1"/>
  <c r="DD38" i="1"/>
  <c r="DC38" i="1"/>
  <c r="DD6" i="1"/>
  <c r="DC6" i="1"/>
  <c r="DA38" i="1"/>
  <c r="CZ38" i="1"/>
  <c r="DA6" i="1"/>
  <c r="CZ6" i="1"/>
  <c r="DD44" i="1" l="1"/>
  <c r="EC44" i="1"/>
  <c r="DB6" i="1"/>
  <c r="DG44" i="1"/>
  <c r="DF44" i="1"/>
  <c r="DE6" i="1"/>
  <c r="DA44" i="1"/>
  <c r="CZ44" i="1"/>
  <c r="DC44" i="1"/>
  <c r="DV38" i="1"/>
  <c r="DU38" i="1"/>
  <c r="DV6" i="1"/>
  <c r="DU6" i="1"/>
  <c r="DE44" i="1" l="1"/>
  <c r="DB44" i="1"/>
  <c r="DH44" i="1"/>
  <c r="DV44" i="1"/>
  <c r="DU44" i="1"/>
  <c r="DW44" i="1" l="1"/>
  <c r="DS38" i="1"/>
  <c r="DR38" i="1"/>
  <c r="DS6" i="1"/>
  <c r="DR6" i="1"/>
  <c r="DP38" i="1"/>
  <c r="DO38" i="1"/>
  <c r="DP6" i="1"/>
  <c r="DO6" i="1"/>
  <c r="DS44" i="1" l="1"/>
  <c r="DR44" i="1"/>
  <c r="DO44" i="1"/>
  <c r="DT6" i="1"/>
  <c r="DP44" i="1"/>
  <c r="DQ6" i="1"/>
  <c r="DT44" i="1" l="1"/>
  <c r="DQ44" i="1"/>
  <c r="GN41" i="1"/>
  <c r="FV10" i="1"/>
  <c r="FV14" i="1"/>
  <c r="FV16" i="1"/>
  <c r="FV17" i="1"/>
  <c r="FV20" i="1"/>
  <c r="FV21" i="1"/>
  <c r="FV22" i="1"/>
  <c r="FV25" i="1"/>
  <c r="FV34" i="1"/>
  <c r="FG29" i="1"/>
  <c r="FG15" i="1"/>
  <c r="FA11" i="1"/>
  <c r="HI8" i="1" l="1"/>
  <c r="CC38" i="1" l="1"/>
  <c r="AA38" i="1"/>
  <c r="CP37" i="1"/>
  <c r="BF21" i="1"/>
  <c r="BF20" i="1"/>
  <c r="BF27" i="1"/>
  <c r="BF37" i="1"/>
  <c r="BB38" i="1" l="1"/>
  <c r="GY38" i="1" l="1"/>
  <c r="GX38" i="1"/>
  <c r="FV41" i="1"/>
  <c r="FV40" i="1"/>
  <c r="FU38" i="1"/>
  <c r="FT38" i="1"/>
  <c r="FU6" i="1"/>
  <c r="FT6" i="1"/>
  <c r="GM38" i="1"/>
  <c r="GL38" i="1"/>
  <c r="GM6" i="1"/>
  <c r="GL6" i="1"/>
  <c r="GJ38" i="1"/>
  <c r="GI38" i="1"/>
  <c r="GJ6" i="1"/>
  <c r="GG38" i="1"/>
  <c r="GF38" i="1"/>
  <c r="GG6" i="1"/>
  <c r="GF6" i="1"/>
  <c r="GN38" i="1" l="1"/>
  <c r="GF44" i="1"/>
  <c r="FU44" i="1"/>
  <c r="FT44" i="1"/>
  <c r="GG44" i="1"/>
  <c r="FV6" i="1"/>
  <c r="GM44" i="1"/>
  <c r="FV38" i="1"/>
  <c r="GL44" i="1"/>
  <c r="GJ44" i="1"/>
  <c r="GK6" i="1"/>
  <c r="GI44" i="1"/>
  <c r="GH6" i="1"/>
  <c r="GH44" i="1" l="1"/>
  <c r="GN44" i="1"/>
  <c r="FV44" i="1"/>
  <c r="GK44" i="1"/>
  <c r="CX38" i="1" l="1"/>
  <c r="CW38" i="1"/>
  <c r="AM6" i="1"/>
  <c r="AL6" i="1"/>
  <c r="AL44" i="1" s="1"/>
  <c r="BH38" i="1"/>
  <c r="BG38" i="1"/>
  <c r="BH6" i="1"/>
  <c r="BG6" i="1"/>
  <c r="CI38" i="1"/>
  <c r="CH38" i="1"/>
  <c r="AS38" i="1"/>
  <c r="AS44" i="1" s="1"/>
  <c r="AR38" i="1"/>
  <c r="AR44" i="1" s="1"/>
  <c r="AG38" i="1"/>
  <c r="AF38" i="1"/>
  <c r="AH15" i="1"/>
  <c r="AG6" i="1"/>
  <c r="AF6" i="1"/>
  <c r="AD38" i="1"/>
  <c r="AC38" i="1"/>
  <c r="AD6" i="1"/>
  <c r="AC6" i="1"/>
  <c r="Z38" i="1"/>
  <c r="AB14" i="1"/>
  <c r="AB11" i="1"/>
  <c r="AA6" i="1"/>
  <c r="Z6" i="1"/>
  <c r="X38" i="1"/>
  <c r="W38" i="1"/>
  <c r="Y34" i="1"/>
  <c r="Y29" i="1"/>
  <c r="Y10" i="1"/>
  <c r="Y7" i="1"/>
  <c r="X6" i="1"/>
  <c r="W6" i="1"/>
  <c r="CB38" i="1"/>
  <c r="CR38" i="1"/>
  <c r="CQ38" i="1"/>
  <c r="CU6" i="1"/>
  <c r="CT6" i="1"/>
  <c r="DJ38" i="1"/>
  <c r="DI38" i="1"/>
  <c r="E38" i="1"/>
  <c r="CV6" i="1" l="1"/>
  <c r="AE6" i="1"/>
  <c r="DK38" i="1"/>
  <c r="CS38" i="1"/>
  <c r="CY38" i="1"/>
  <c r="X44" i="1"/>
  <c r="AA44" i="1"/>
  <c r="AD44" i="1"/>
  <c r="AN6" i="1"/>
  <c r="AG44" i="1"/>
  <c r="AM44" i="1"/>
  <c r="BH44" i="1"/>
  <c r="BG44" i="1"/>
  <c r="AT44" i="1"/>
  <c r="AH6" i="1"/>
  <c r="AF44" i="1"/>
  <c r="AC44" i="1"/>
  <c r="AB6" i="1"/>
  <c r="Z44" i="1"/>
  <c r="AB38" i="1"/>
  <c r="Y6" i="1"/>
  <c r="W44" i="1"/>
  <c r="Y38" i="1"/>
  <c r="AH44" i="1" l="1"/>
  <c r="AN44" i="1"/>
  <c r="Y44" i="1"/>
  <c r="AB44" i="1"/>
  <c r="BI44" i="1"/>
  <c r="AE44" i="1"/>
  <c r="E6" i="1" l="1"/>
  <c r="H6" i="1"/>
  <c r="I6" i="1"/>
  <c r="C6" i="1" s="1"/>
  <c r="Q6" i="1"/>
  <c r="R6" i="1"/>
  <c r="T6" i="1"/>
  <c r="U6" i="1"/>
  <c r="AI6" i="1"/>
  <c r="AI44" i="1" s="1"/>
  <c r="AJ6" i="1"/>
  <c r="AJ44" i="1" s="1"/>
  <c r="AU6" i="1"/>
  <c r="AV6" i="1"/>
  <c r="AX6" i="1"/>
  <c r="AX44" i="1" s="1"/>
  <c r="AY6" i="1"/>
  <c r="BA6" i="1"/>
  <c r="BB6" i="1"/>
  <c r="BD6" i="1"/>
  <c r="BE6" i="1"/>
  <c r="BE44" i="1" s="1"/>
  <c r="BJ6" i="1"/>
  <c r="BK6" i="1"/>
  <c r="BM6" i="1"/>
  <c r="BN6" i="1"/>
  <c r="BP6" i="1"/>
  <c r="BQ6" i="1"/>
  <c r="BS6" i="1"/>
  <c r="BT6" i="1"/>
  <c r="BT44" i="1" s="1"/>
  <c r="BV6" i="1"/>
  <c r="BV44" i="1" s="1"/>
  <c r="BW6" i="1"/>
  <c r="CB6" i="1"/>
  <c r="CB44" i="1" s="1"/>
  <c r="CC6" i="1"/>
  <c r="CH6" i="1"/>
  <c r="CH44" i="1" s="1"/>
  <c r="CI6" i="1"/>
  <c r="CK6" i="1"/>
  <c r="CL6" i="1"/>
  <c r="CN6" i="1"/>
  <c r="CN44" i="1" s="1"/>
  <c r="CO6" i="1"/>
  <c r="CQ6" i="1"/>
  <c r="CR6" i="1"/>
  <c r="CR44" i="1" s="1"/>
  <c r="CW6" i="1"/>
  <c r="CW44" i="1" s="1"/>
  <c r="CX6" i="1"/>
  <c r="DI6" i="1"/>
  <c r="DJ6" i="1"/>
  <c r="DJ44" i="1" s="1"/>
  <c r="DL6" i="1"/>
  <c r="DM6" i="1"/>
  <c r="DX6" i="1"/>
  <c r="DY6" i="1"/>
  <c r="EH6" i="1"/>
  <c r="EJ6" i="1"/>
  <c r="EK6" i="1"/>
  <c r="EM6" i="1"/>
  <c r="EN6" i="1"/>
  <c r="EP6" i="1"/>
  <c r="EQ6" i="1"/>
  <c r="EV6" i="1"/>
  <c r="EW6" i="1"/>
  <c r="EY6" i="1"/>
  <c r="EZ6" i="1"/>
  <c r="FB6" i="1"/>
  <c r="FC6" i="1"/>
  <c r="FE6" i="1"/>
  <c r="FF6" i="1"/>
  <c r="FH6" i="1"/>
  <c r="FI6" i="1"/>
  <c r="FN6" i="1"/>
  <c r="FO6" i="1"/>
  <c r="FQ6" i="1"/>
  <c r="FR6" i="1"/>
  <c r="FW6" i="1"/>
  <c r="FX6" i="1"/>
  <c r="FZ6" i="1"/>
  <c r="GA6" i="1"/>
  <c r="GD6" i="1"/>
  <c r="GO6" i="1"/>
  <c r="GP6" i="1"/>
  <c r="GR6" i="1"/>
  <c r="GS6" i="1"/>
  <c r="GU6" i="1"/>
  <c r="GV6" i="1"/>
  <c r="GX6" i="1"/>
  <c r="GX44" i="1" s="1"/>
  <c r="GY6" i="1"/>
  <c r="HD6" i="1"/>
  <c r="HD44" i="1" s="1"/>
  <c r="HE6" i="1"/>
  <c r="HV6" i="1"/>
  <c r="HW6" i="1"/>
  <c r="HY6" i="1"/>
  <c r="HY44" i="1" s="1"/>
  <c r="HZ6" i="1"/>
  <c r="HZ44" i="1" s="1"/>
  <c r="H38" i="1"/>
  <c r="B38" i="1" s="1"/>
  <c r="I38" i="1"/>
  <c r="L38" i="1"/>
  <c r="M38" i="1" s="1"/>
  <c r="Q38" i="1"/>
  <c r="R38" i="1"/>
  <c r="T38" i="1"/>
  <c r="U38" i="1"/>
  <c r="AO38" i="1"/>
  <c r="AO44" i="1" s="1"/>
  <c r="AP38" i="1"/>
  <c r="AP44" i="1" s="1"/>
  <c r="BA38" i="1"/>
  <c r="BJ38" i="1"/>
  <c r="BK38" i="1"/>
  <c r="BM38" i="1"/>
  <c r="BN38" i="1"/>
  <c r="BP38" i="1"/>
  <c r="BQ38" i="1"/>
  <c r="BY38" i="1"/>
  <c r="BY44" i="1" s="1"/>
  <c r="BZ38" i="1"/>
  <c r="CK38" i="1"/>
  <c r="CL38" i="1"/>
  <c r="CT38" i="1"/>
  <c r="CU38" i="1"/>
  <c r="CU44" i="1" s="1"/>
  <c r="DL38" i="1"/>
  <c r="DM38" i="1"/>
  <c r="EG38" i="1"/>
  <c r="EH38" i="1"/>
  <c r="EJ38" i="1"/>
  <c r="EK38" i="1"/>
  <c r="EM38" i="1"/>
  <c r="EN38" i="1"/>
  <c r="EP38" i="1"/>
  <c r="ED38" i="1" s="1"/>
  <c r="EQ38" i="1"/>
  <c r="EE38" i="1" s="1"/>
  <c r="EV38" i="1"/>
  <c r="EW38" i="1"/>
  <c r="EX38" i="1" s="1"/>
  <c r="EY38" i="1"/>
  <c r="EZ38" i="1"/>
  <c r="FB38" i="1"/>
  <c r="FC38" i="1"/>
  <c r="FE38" i="1"/>
  <c r="FF38" i="1"/>
  <c r="FH38" i="1"/>
  <c r="FI38" i="1"/>
  <c r="FN38" i="1"/>
  <c r="FO38" i="1"/>
  <c r="FQ38" i="1"/>
  <c r="FR38" i="1"/>
  <c r="FW38" i="1"/>
  <c r="FX38" i="1"/>
  <c r="FZ38" i="1"/>
  <c r="GA38" i="1"/>
  <c r="GC38" i="1"/>
  <c r="GD38" i="1"/>
  <c r="GO38" i="1"/>
  <c r="GP38" i="1"/>
  <c r="GR38" i="1"/>
  <c r="GS38" i="1"/>
  <c r="GU38" i="1"/>
  <c r="GV38" i="1"/>
  <c r="HV38" i="1"/>
  <c r="HG38" i="1" s="1"/>
  <c r="HW38" i="1"/>
  <c r="HH38" i="1" s="1"/>
  <c r="EF38" i="1" l="1"/>
  <c r="IT38" i="1"/>
  <c r="HW44" i="1"/>
  <c r="HH6" i="1"/>
  <c r="HV44" i="1"/>
  <c r="HG6" i="1"/>
  <c r="HG44" i="1" s="1"/>
  <c r="ED44" i="1"/>
  <c r="ER38" i="1"/>
  <c r="EP44" i="1"/>
  <c r="EE44" i="1"/>
  <c r="HF6" i="1"/>
  <c r="GE6" i="1"/>
  <c r="EI38" i="1"/>
  <c r="N6" i="1"/>
  <c r="O38" i="1"/>
  <c r="N38" i="1"/>
  <c r="O6" i="1"/>
  <c r="CK44" i="1"/>
  <c r="BZ44" i="1"/>
  <c r="CA38" i="1"/>
  <c r="L44" i="1"/>
  <c r="C38" i="1"/>
  <c r="C44" i="1" s="1"/>
  <c r="E44" i="1"/>
  <c r="B6" i="1"/>
  <c r="AU44" i="1"/>
  <c r="FC44" i="1"/>
  <c r="R44" i="1"/>
  <c r="EK44" i="1"/>
  <c r="BN44" i="1"/>
  <c r="DY44" i="1"/>
  <c r="BB44" i="1"/>
  <c r="I44" i="1"/>
  <c r="GO44" i="1"/>
  <c r="EV44" i="1"/>
  <c r="GU44" i="1"/>
  <c r="FB44" i="1"/>
  <c r="FQ44" i="1"/>
  <c r="FW44" i="1"/>
  <c r="EY44" i="1"/>
  <c r="DX44" i="1"/>
  <c r="Q44" i="1"/>
  <c r="GT6" i="1"/>
  <c r="FP6" i="1"/>
  <c r="FJ6" i="1"/>
  <c r="FG6" i="1"/>
  <c r="FA6" i="1"/>
  <c r="ER6" i="1"/>
  <c r="BO6" i="1"/>
  <c r="S6" i="1"/>
  <c r="FZ44" i="1"/>
  <c r="EM44" i="1"/>
  <c r="EJ44" i="1"/>
  <c r="EG44" i="1"/>
  <c r="GS44" i="1"/>
  <c r="GD44" i="1"/>
  <c r="FO44" i="1"/>
  <c r="FI44" i="1"/>
  <c r="FF44" i="1"/>
  <c r="EQ44" i="1"/>
  <c r="EH44" i="1"/>
  <c r="DM44" i="1"/>
  <c r="CL44" i="1"/>
  <c r="BQ44" i="1"/>
  <c r="BK44" i="1"/>
  <c r="U44" i="1"/>
  <c r="FS6" i="1"/>
  <c r="FY6" i="1"/>
  <c r="GQ6" i="1"/>
  <c r="FD6" i="1"/>
  <c r="EX6" i="1"/>
  <c r="EO6" i="1"/>
  <c r="EL6" i="1"/>
  <c r="DZ6" i="1"/>
  <c r="AW6" i="1"/>
  <c r="V6" i="1"/>
  <c r="BM44" i="1"/>
  <c r="FA38" i="1"/>
  <c r="EZ44" i="1"/>
  <c r="AV44" i="1"/>
  <c r="F44" i="1"/>
  <c r="HE44" i="1"/>
  <c r="GZ6" i="1"/>
  <c r="GY44" i="1"/>
  <c r="EI6" i="1"/>
  <c r="CC44" i="1"/>
  <c r="AY44" i="1"/>
  <c r="GT38" i="1"/>
  <c r="GR44" i="1"/>
  <c r="GC44" i="1"/>
  <c r="FP38" i="1"/>
  <c r="FN44" i="1"/>
  <c r="FJ38" i="1"/>
  <c r="FH44" i="1"/>
  <c r="FE44" i="1"/>
  <c r="DL44" i="1"/>
  <c r="BP44" i="1"/>
  <c r="BL38" i="1"/>
  <c r="BJ44" i="1"/>
  <c r="T44" i="1"/>
  <c r="K44" i="1"/>
  <c r="S38" i="1"/>
  <c r="DI44" i="1"/>
  <c r="CQ44" i="1"/>
  <c r="BU6" i="1"/>
  <c r="BS44" i="1"/>
  <c r="BF6" i="1"/>
  <c r="BD44" i="1"/>
  <c r="CT44" i="1"/>
  <c r="BC38" i="1"/>
  <c r="BA44" i="1"/>
  <c r="GW38" i="1"/>
  <c r="GV44" i="1"/>
  <c r="GQ38" i="1"/>
  <c r="GP44" i="1"/>
  <c r="GB38" i="1"/>
  <c r="GA44" i="1"/>
  <c r="FY38" i="1"/>
  <c r="FX44" i="1"/>
  <c r="FS38" i="1"/>
  <c r="FR44" i="1"/>
  <c r="EW44" i="1"/>
  <c r="EO38" i="1"/>
  <c r="EN44" i="1"/>
  <c r="IA6" i="1"/>
  <c r="GW6" i="1"/>
  <c r="GB6" i="1"/>
  <c r="DN6" i="1"/>
  <c r="CX44" i="1"/>
  <c r="CP6" i="1"/>
  <c r="CO44" i="1"/>
  <c r="CJ6" i="1"/>
  <c r="CI44" i="1"/>
  <c r="BW44" i="1"/>
  <c r="IU8" i="1"/>
  <c r="IV8" i="1" s="1"/>
  <c r="IU9" i="1"/>
  <c r="IV9" i="1" s="1"/>
  <c r="IU10" i="1"/>
  <c r="IV10" i="1" s="1"/>
  <c r="IU11" i="1"/>
  <c r="IV11" i="1" s="1"/>
  <c r="IU40" i="1"/>
  <c r="IV40" i="1" s="1"/>
  <c r="IU41" i="1"/>
  <c r="IV41" i="1" s="1"/>
  <c r="IU12" i="1"/>
  <c r="IV12" i="1" s="1"/>
  <c r="IU13" i="1"/>
  <c r="IV13" i="1" s="1"/>
  <c r="IU14" i="1"/>
  <c r="IV14" i="1" s="1"/>
  <c r="IU15" i="1"/>
  <c r="IV15" i="1" s="1"/>
  <c r="IU16" i="1"/>
  <c r="IV16" i="1" s="1"/>
  <c r="IU17" i="1"/>
  <c r="IV17" i="1" s="1"/>
  <c r="IU18" i="1"/>
  <c r="IV18" i="1" s="1"/>
  <c r="IU19" i="1"/>
  <c r="IV19" i="1" s="1"/>
  <c r="IU20" i="1"/>
  <c r="IV20" i="1" s="1"/>
  <c r="IU21" i="1"/>
  <c r="IV21" i="1" s="1"/>
  <c r="IU22" i="1"/>
  <c r="IV22" i="1" s="1"/>
  <c r="IU23" i="1"/>
  <c r="IV23" i="1" s="1"/>
  <c r="IU24" i="1"/>
  <c r="IV24" i="1" s="1"/>
  <c r="IU25" i="1"/>
  <c r="IV25" i="1" s="1"/>
  <c r="IU26" i="1"/>
  <c r="IV26" i="1" s="1"/>
  <c r="IU42" i="1"/>
  <c r="IV42" i="1" s="1"/>
  <c r="IU27" i="1"/>
  <c r="IV27" i="1" s="1"/>
  <c r="IU28" i="1"/>
  <c r="IV28" i="1" s="1"/>
  <c r="IU29" i="1"/>
  <c r="IV29" i="1" s="1"/>
  <c r="IU30" i="1"/>
  <c r="IV30" i="1" s="1"/>
  <c r="IU31" i="1"/>
  <c r="IV31" i="1" s="1"/>
  <c r="IU32" i="1"/>
  <c r="IV32" i="1" s="1"/>
  <c r="IU33" i="1"/>
  <c r="IV33" i="1" s="1"/>
  <c r="IU34" i="1"/>
  <c r="IV34" i="1" s="1"/>
  <c r="IU35" i="1"/>
  <c r="IV35" i="1" s="1"/>
  <c r="IU36" i="1"/>
  <c r="IV36" i="1" s="1"/>
  <c r="IU37" i="1"/>
  <c r="IV37" i="1" s="1"/>
  <c r="IU7" i="1"/>
  <c r="IV7" i="1" s="1"/>
  <c r="S8" i="1"/>
  <c r="S9" i="1"/>
  <c r="S10" i="1"/>
  <c r="S11" i="1"/>
  <c r="S40" i="1"/>
  <c r="S12" i="1"/>
  <c r="S13" i="1"/>
  <c r="S14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GW10" i="1"/>
  <c r="GW40" i="1"/>
  <c r="GW41" i="1"/>
  <c r="GW14" i="1"/>
  <c r="GW16" i="1"/>
  <c r="GW17" i="1"/>
  <c r="GW20" i="1"/>
  <c r="GW21" i="1"/>
  <c r="GW22" i="1"/>
  <c r="GW25" i="1"/>
  <c r="GW34" i="1"/>
  <c r="GT10" i="1"/>
  <c r="GT11" i="1"/>
  <c r="GT41" i="1"/>
  <c r="GT12" i="1"/>
  <c r="GT13" i="1"/>
  <c r="GT14" i="1"/>
  <c r="GT15" i="1"/>
  <c r="GT16" i="1"/>
  <c r="GT17" i="1"/>
  <c r="GT18" i="1"/>
  <c r="GT19" i="1"/>
  <c r="GT20" i="1"/>
  <c r="GT21" i="1"/>
  <c r="GT22" i="1"/>
  <c r="GT23" i="1"/>
  <c r="GT24" i="1"/>
  <c r="GT25" i="1"/>
  <c r="GT26" i="1"/>
  <c r="GT39" i="1"/>
  <c r="GT27" i="1"/>
  <c r="GT28" i="1"/>
  <c r="GT29" i="1"/>
  <c r="GT31" i="1"/>
  <c r="GT32" i="1"/>
  <c r="GT33" i="1"/>
  <c r="GT34" i="1"/>
  <c r="GT35" i="1"/>
  <c r="GT36" i="1"/>
  <c r="GT37" i="1"/>
  <c r="DN19" i="1"/>
  <c r="FD27" i="1"/>
  <c r="FA8" i="1"/>
  <c r="FA9" i="1"/>
  <c r="FA10" i="1"/>
  <c r="FA39" i="1"/>
  <c r="AW23" i="1"/>
  <c r="AW29" i="1"/>
  <c r="BO15" i="1"/>
  <c r="BO31" i="1"/>
  <c r="BL39" i="1"/>
  <c r="BF35" i="1"/>
  <c r="FY8" i="1"/>
  <c r="FY9" i="1"/>
  <c r="FY10" i="1"/>
  <c r="FY11" i="1"/>
  <c r="FY40" i="1"/>
  <c r="FY41" i="1"/>
  <c r="FY12" i="1"/>
  <c r="FY13" i="1"/>
  <c r="FY14" i="1"/>
  <c r="FY15" i="1"/>
  <c r="FY16" i="1"/>
  <c r="FY17" i="1"/>
  <c r="FY18" i="1"/>
  <c r="FY19" i="1"/>
  <c r="FY20" i="1"/>
  <c r="FY21" i="1"/>
  <c r="FY22" i="1"/>
  <c r="FY23" i="1"/>
  <c r="FY24" i="1"/>
  <c r="FY25" i="1"/>
  <c r="FY26" i="1"/>
  <c r="FY39" i="1"/>
  <c r="FY42" i="1"/>
  <c r="FY27" i="1"/>
  <c r="FY28" i="1"/>
  <c r="FY29" i="1"/>
  <c r="FY30" i="1"/>
  <c r="FY31" i="1"/>
  <c r="FY32" i="1"/>
  <c r="FY33" i="1"/>
  <c r="FY34" i="1"/>
  <c r="FY35" i="1"/>
  <c r="FY36" i="1"/>
  <c r="FY37" i="1"/>
  <c r="FS40" i="1"/>
  <c r="FS41" i="1"/>
  <c r="FS39" i="1"/>
  <c r="FS42" i="1"/>
  <c r="FP8" i="1"/>
  <c r="FP9" i="1"/>
  <c r="FP10" i="1"/>
  <c r="FP11" i="1"/>
  <c r="FP40" i="1"/>
  <c r="FP41" i="1"/>
  <c r="FP12" i="1"/>
  <c r="FP13" i="1"/>
  <c r="FP14" i="1"/>
  <c r="FP15" i="1"/>
  <c r="FP16" i="1"/>
  <c r="FP17" i="1"/>
  <c r="FP18" i="1"/>
  <c r="FP19" i="1"/>
  <c r="FP20" i="1"/>
  <c r="FP21" i="1"/>
  <c r="FP22" i="1"/>
  <c r="FP23" i="1"/>
  <c r="FP24" i="1"/>
  <c r="FP25" i="1"/>
  <c r="FP26" i="1"/>
  <c r="FP39" i="1"/>
  <c r="FP42" i="1"/>
  <c r="FP27" i="1"/>
  <c r="FP28" i="1"/>
  <c r="FP29" i="1"/>
  <c r="FP30" i="1"/>
  <c r="FP31" i="1"/>
  <c r="FP32" i="1"/>
  <c r="FP33" i="1"/>
  <c r="FP34" i="1"/>
  <c r="FP35" i="1"/>
  <c r="FP36" i="1"/>
  <c r="FP37" i="1"/>
  <c r="FJ8" i="1"/>
  <c r="FJ10" i="1"/>
  <c r="FJ11" i="1"/>
  <c r="FJ40" i="1"/>
  <c r="FJ41" i="1"/>
  <c r="FJ14" i="1"/>
  <c r="FJ15" i="1"/>
  <c r="FJ17" i="1"/>
  <c r="FJ18" i="1"/>
  <c r="FJ20" i="1"/>
  <c r="FJ21" i="1"/>
  <c r="FJ23" i="1"/>
  <c r="FJ24" i="1"/>
  <c r="FJ39" i="1"/>
  <c r="FJ42" i="1"/>
  <c r="FJ29" i="1"/>
  <c r="FJ34" i="1"/>
  <c r="FJ35" i="1"/>
  <c r="FJ37" i="1"/>
  <c r="DZ10" i="1"/>
  <c r="GE15" i="1"/>
  <c r="GE30" i="1"/>
  <c r="GE31" i="1"/>
  <c r="GB8" i="1"/>
  <c r="GB9" i="1"/>
  <c r="GB10" i="1"/>
  <c r="GB11" i="1"/>
  <c r="GB40" i="1"/>
  <c r="GB41" i="1"/>
  <c r="GB12" i="1"/>
  <c r="GB13" i="1"/>
  <c r="GB14" i="1"/>
  <c r="GB15" i="1"/>
  <c r="GB16" i="1"/>
  <c r="GB17" i="1"/>
  <c r="GB18" i="1"/>
  <c r="GB19" i="1"/>
  <c r="GB20" i="1"/>
  <c r="GB21" i="1"/>
  <c r="GB22" i="1"/>
  <c r="GB23" i="1"/>
  <c r="GB24" i="1"/>
  <c r="GB25" i="1"/>
  <c r="GB26" i="1"/>
  <c r="GB39" i="1"/>
  <c r="GB42" i="1"/>
  <c r="GB27" i="1"/>
  <c r="GB28" i="1"/>
  <c r="GB29" i="1"/>
  <c r="GB30" i="1"/>
  <c r="GB31" i="1"/>
  <c r="GB32" i="1"/>
  <c r="GB33" i="1"/>
  <c r="GB34" i="1"/>
  <c r="GB35" i="1"/>
  <c r="GB36" i="1"/>
  <c r="GB37" i="1"/>
  <c r="EO8" i="1"/>
  <c r="EO10" i="1"/>
  <c r="EO11" i="1"/>
  <c r="EO40" i="1"/>
  <c r="EO41" i="1"/>
  <c r="EO15" i="1"/>
  <c r="EO17" i="1"/>
  <c r="EO18" i="1"/>
  <c r="EO20" i="1"/>
  <c r="EO21" i="1"/>
  <c r="EO23" i="1"/>
  <c r="EO24" i="1"/>
  <c r="EO39" i="1"/>
  <c r="EO29" i="1"/>
  <c r="EO34" i="1"/>
  <c r="EO35" i="1"/>
  <c r="EO37" i="1"/>
  <c r="CA39" i="1"/>
  <c r="GQ11" i="1"/>
  <c r="GQ13" i="1"/>
  <c r="GQ14" i="1"/>
  <c r="GQ18" i="1"/>
  <c r="GQ19" i="1"/>
  <c r="GQ20" i="1"/>
  <c r="GQ21" i="1"/>
  <c r="GQ23" i="1"/>
  <c r="GQ25" i="1"/>
  <c r="GQ42" i="1"/>
  <c r="GQ27" i="1"/>
  <c r="GQ29" i="1"/>
  <c r="GQ31" i="1"/>
  <c r="GQ32" i="1"/>
  <c r="GQ34" i="1"/>
  <c r="GQ35" i="1"/>
  <c r="GQ36" i="1"/>
  <c r="GQ37" i="1"/>
  <c r="M42" i="1"/>
  <c r="EL11" i="1"/>
  <c r="EL18" i="1"/>
  <c r="EL19" i="1"/>
  <c r="EL21" i="1"/>
  <c r="EL23" i="1"/>
  <c r="EL27" i="1"/>
  <c r="EL28" i="1"/>
  <c r="EL29" i="1"/>
  <c r="EL37" i="1"/>
  <c r="V37" i="1"/>
  <c r="GT7" i="1"/>
  <c r="FD7" i="1"/>
  <c r="FA7" i="1"/>
  <c r="FY7" i="1"/>
  <c r="FS7" i="1"/>
  <c r="FP7" i="1"/>
  <c r="FJ7" i="1"/>
  <c r="GB7" i="1"/>
  <c r="EO7" i="1"/>
  <c r="GQ7" i="1"/>
  <c r="EL7" i="1"/>
  <c r="EI7" i="1"/>
  <c r="S7" i="1"/>
  <c r="EF44" i="1" l="1"/>
  <c r="D38" i="1"/>
  <c r="B44" i="1"/>
  <c r="D44" i="1" s="1"/>
  <c r="D6" i="1"/>
  <c r="IT6" i="1"/>
  <c r="O44" i="1"/>
  <c r="N44" i="1"/>
  <c r="P38" i="1"/>
  <c r="IU39" i="1"/>
  <c r="GZ44" i="1"/>
  <c r="HF44" i="1"/>
  <c r="CJ44" i="1"/>
  <c r="CY44" i="1"/>
  <c r="CS44" i="1"/>
  <c r="CA44" i="1"/>
  <c r="CD44" i="1"/>
  <c r="BU44" i="1"/>
  <c r="DK44" i="1"/>
  <c r="BX44" i="1"/>
  <c r="CP44" i="1"/>
  <c r="CV44" i="1"/>
  <c r="AQ44" i="1"/>
  <c r="AZ44" i="1"/>
  <c r="BF44" i="1"/>
  <c r="M44" i="1"/>
  <c r="EL44" i="1"/>
  <c r="BO44" i="1"/>
  <c r="FS44" i="1"/>
  <c r="FA44" i="1"/>
  <c r="S44" i="1"/>
  <c r="BC44" i="1"/>
  <c r="BR44" i="1"/>
  <c r="FD44" i="1"/>
  <c r="GW44" i="1"/>
  <c r="FP44" i="1"/>
  <c r="GT44" i="1"/>
  <c r="IU6" i="1"/>
  <c r="DZ44" i="1"/>
  <c r="BL44" i="1"/>
  <c r="GB44" i="1"/>
  <c r="DN44" i="1"/>
  <c r="HH44" i="1"/>
  <c r="EX44" i="1"/>
  <c r="FG44" i="1"/>
  <c r="GQ44" i="1"/>
  <c r="V44" i="1"/>
  <c r="EO44" i="1"/>
  <c r="FY44" i="1"/>
  <c r="EI44" i="1"/>
  <c r="CM44" i="1"/>
  <c r="ER44" i="1"/>
  <c r="FJ44" i="1"/>
  <c r="GE44" i="1"/>
  <c r="HI6" i="1"/>
  <c r="AW44" i="1"/>
  <c r="IU38" i="1" l="1"/>
  <c r="IV38" i="1" s="1"/>
  <c r="IV39" i="1"/>
  <c r="IV6" i="1"/>
  <c r="P44" i="1"/>
  <c r="HI44" i="1"/>
  <c r="IU44" i="1" l="1"/>
  <c r="IT44" i="1"/>
  <c r="IV44" i="1" l="1"/>
</calcChain>
</file>

<file path=xl/sharedStrings.xml><?xml version="1.0" encoding="utf-8"?>
<sst xmlns="http://schemas.openxmlformats.org/spreadsheetml/2006/main" count="2181" uniqueCount="199">
  <si>
    <t>0130278020</t>
  </si>
  <si>
    <t>0130278050</t>
  </si>
  <si>
    <t>8800050100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</si>
  <si>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</si>
  <si>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</si>
  <si>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</si>
  <si>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</si>
  <si>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Акшинский район</t>
  </si>
  <si>
    <t>Алек-Заводский район</t>
  </si>
  <si>
    <t>Балейский район</t>
  </si>
  <si>
    <t>Борзинский район</t>
  </si>
  <si>
    <t>г. Петровск-Забайкальский</t>
  </si>
  <si>
    <t>г. Чита</t>
  </si>
  <si>
    <t>Газ-Заводский район</t>
  </si>
  <si>
    <t>Дульдургинский район</t>
  </si>
  <si>
    <t>Забайкальский район</t>
  </si>
  <si>
    <t>Каларский район</t>
  </si>
  <si>
    <t>Калганский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</si>
  <si>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</si>
  <si>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</si>
  <si>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</si>
  <si>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</si>
  <si>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</si>
  <si>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</si>
  <si>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</si>
  <si>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Нерчинско-Заводский район</t>
  </si>
  <si>
    <t>Оловяннинский район</t>
  </si>
  <si>
    <t>Ононский район</t>
  </si>
  <si>
    <t>п. Агинское</t>
  </si>
  <si>
    <t>п.Горный ЗАТО</t>
  </si>
  <si>
    <t>Петровск-Забайкальский район</t>
  </si>
  <si>
    <t>Приаргунский район</t>
  </si>
  <si>
    <t>Сретенский район</t>
  </si>
  <si>
    <t>Тунгиро-Олекминский район</t>
  </si>
  <si>
    <t>Тунгокоченский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</si>
  <si>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</si>
  <si>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</si>
  <si>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</si>
  <si>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</si>
  <si>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</si>
  <si>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</si>
  <si>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</si>
  <si>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</si>
  <si>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</si>
  <si>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</si>
  <si>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</si>
  <si>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Субвенции- всего</t>
  </si>
  <si>
    <t>Иные межбюджетные трансферты - всего</t>
  </si>
  <si>
    <t>Всего межбюджетных трансфертов</t>
  </si>
  <si>
    <t>Наименование муниципальных районов и городских округов</t>
  </si>
  <si>
    <t>Муниципальные районы</t>
  </si>
  <si>
    <t>Городские окрута</t>
  </si>
  <si>
    <t>ВСЕГО</t>
  </si>
  <si>
    <t>Утвержденные бюджетные назначения (уточненные)</t>
  </si>
  <si>
    <t>тыс.рублей</t>
  </si>
  <si>
    <t>Нераспределенные средства</t>
  </si>
  <si>
    <t>Х</t>
  </si>
  <si>
    <t>14207R2550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</si>
  <si>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</si>
  <si>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Государственная поддержка малого и среднего предпринимательства в субъектах Российской Федерации</t>
  </si>
  <si>
    <t>032I555270</t>
  </si>
  <si>
    <t>Государственная поддержка отрасли культуры</t>
  </si>
  <si>
    <t>151A155190</t>
  </si>
  <si>
    <t>Мероприятия государственной программы Российской Федерации "Доступная среда"</t>
  </si>
  <si>
    <t>24202R0270</t>
  </si>
  <si>
    <t>Мероприятия по переселению граждан из ветхого и аварийного жилья в зоне Байкало-Амурской магистрали</t>
  </si>
  <si>
    <t>28301R0230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</si>
  <si>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</si>
  <si>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28301R1780</t>
  </si>
  <si>
    <t>Модернизация и закрытие котельных с их переводом на централизованное теплоснабжение</t>
  </si>
  <si>
    <t>082G474508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</si>
  <si>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</si>
  <si>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2710274905</t>
  </si>
  <si>
    <t>Модернизация региональных и муниципальных детских школ искусств по видам искусств</t>
  </si>
  <si>
    <t>15105R3060</t>
  </si>
  <si>
    <t>Обеспечение основных требований действующего законодательства в области антитеррористической безопасности образовательных организаций</t>
  </si>
  <si>
    <t>1410671440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</si>
  <si>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</si>
  <si>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15106R4670</t>
  </si>
  <si>
    <t>Осуществление городским округом "Город Чита" функций административного центра (столицы) Забайкальского края</t>
  </si>
  <si>
    <t>1210374521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</si>
  <si>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</si>
  <si>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</si>
  <si>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Поддержка отрасли культуры</t>
  </si>
  <si>
    <t>15102R5190</t>
  </si>
  <si>
    <t>15106R5190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</si>
  <si>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</si>
  <si>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15103R4660</t>
  </si>
  <si>
    <t>Поддержка экономического и социального развития коренных малочисленных народов Севера, Сибири и Дальнего Востока</t>
  </si>
  <si>
    <t>19703R5150</t>
  </si>
  <si>
    <t>Проектирование и строительство троллейбусных линий</t>
  </si>
  <si>
    <t>131G474506</t>
  </si>
  <si>
    <t>Развитие транспортной инфраструктуры на сельских территориях</t>
  </si>
  <si>
    <t>32301R3720</t>
  </si>
  <si>
    <t>Разработка проектно-сметной документации и (или) строительство объектов нецентрализованного питьевого водоснабжения, находящихся в муниципальной собственности</t>
  </si>
  <si>
    <t>2720274103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</si>
  <si>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</si>
  <si>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1470271101</t>
  </si>
  <si>
    <t>Реализация мероприятий по комплексному развитию сельских территорий</t>
  </si>
  <si>
    <t>32101R5760</t>
  </si>
  <si>
    <t>32302R5760</t>
  </si>
  <si>
    <t>32303R5760</t>
  </si>
  <si>
    <t>Реализация мероприятий по ликвидации мест несанкционированного размещения отходов</t>
  </si>
  <si>
    <t>0820177264</t>
  </si>
  <si>
    <t>Реализация мероприятий по обеспечению жильем молодых семей</t>
  </si>
  <si>
    <t>12301R4970</t>
  </si>
  <si>
    <t>Реализация мероприятий по укреплению единства российской нации и этнокультурному развитию народов России</t>
  </si>
  <si>
    <t>19702R5160</t>
  </si>
  <si>
    <t>Реализация мероприятий федеральной целевой программы "Увековечение памяти погибших при защите Отечества на 2019-2024 годы"</t>
  </si>
  <si>
    <t>31203R2990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</si>
  <si>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</si>
  <si>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</si>
  <si>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</si>
  <si>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142E250970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</si>
  <si>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</si>
  <si>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</si>
  <si>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центров цифрового образования детей</t>
  </si>
  <si>
    <t>145E452190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</si>
  <si>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</si>
  <si>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0130278180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</si>
  <si>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</si>
  <si>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2420172270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</si>
  <si>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</si>
  <si>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1210274770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</si>
  <si>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</si>
  <si>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1330374315</t>
  </si>
  <si>
    <t>Субсидия на реализацию мероприятий по осуществлению расходов, связанных с созданием центров цифрового образования детей</t>
  </si>
  <si>
    <t>145E471442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</si>
  <si>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</si>
  <si>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1330374317</t>
  </si>
  <si>
    <t>Финансовое обеспечение мероприятий федеральной целевой программы "Развитие физической культуры и спорта в Российской Федерации на 2016-2020 годы"</t>
  </si>
  <si>
    <t>184P554950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</si>
  <si>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</si>
  <si>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</si>
  <si>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</si>
  <si>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05Д0279263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</si>
  <si>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</si>
  <si>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</si>
  <si>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1310379502</t>
  </si>
  <si>
    <t>1410171201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</si>
  <si>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</si>
  <si>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</si>
  <si>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</si>
  <si>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</si>
  <si>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Организация проведения мероприятий по содержанию безнадзорных животных</t>
  </si>
  <si>
    <t>05Д0277263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</si>
  <si>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</si>
  <si>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</si>
  <si>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</si>
  <si>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</si>
  <si>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</si>
  <si>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</si>
  <si>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</si>
  <si>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</si>
  <si>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</si>
  <si>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Осуществление государственных полномочий в области социальной защиты населения</t>
  </si>
  <si>
    <t>1490579230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</si>
  <si>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</si>
  <si>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</si>
  <si>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</si>
  <si>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</si>
  <si>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</si>
  <si>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</si>
  <si>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</si>
  <si>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</si>
  <si>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</si>
  <si>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</si>
  <si>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</si>
  <si>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</si>
  <si>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</si>
  <si>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</si>
  <si>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</si>
  <si>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</si>
  <si>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Проведение Всероссийской переписи населения 2020 года</t>
  </si>
  <si>
    <t>8800054690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</si>
  <si>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</si>
  <si>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Субвенция на предоставление дотаций поселениям на выравнивание бюджетной обеспеченности</t>
  </si>
  <si>
    <t>0130278060</t>
  </si>
  <si>
    <t>1730372400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</si>
  <si>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</si>
  <si>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</si>
  <si>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</si>
  <si>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2120472806</t>
  </si>
  <si>
    <t>133065505М</t>
  </si>
  <si>
    <t>151085505М</t>
  </si>
  <si>
    <t>184015505М</t>
  </si>
  <si>
    <t>291045505М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</si>
  <si>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</si>
  <si>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15108Ц505М</t>
  </si>
  <si>
    <t>18401Ц505М</t>
  </si>
  <si>
    <t>29104Ц505М</t>
  </si>
  <si>
    <t>Резервные фонды исполнительных органов государственной власти субъекта Российской Федерации</t>
  </si>
  <si>
    <t>Создание виртуальных концертных залов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</si>
  <si>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</si>
  <si>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8800000704</t>
  </si>
  <si>
    <t>151A354530</t>
  </si>
  <si>
    <t>133R153930</t>
  </si>
  <si>
    <t>1420171201</t>
  </si>
  <si>
    <t>Сведения о фактически произведенных расходах из бюджета Забайкальского края на предоставление межбюджетных трансфертов бюджетам муниципальных образований по состоянию на 01.04.2020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</si>
</sst>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theme="0"/>
        <bgColor indexed="64"/>
      </patternFill>
    </fill>
    <fill>
      <patternFill patternType="solid">
        <fgColor rgb="FFF1F5F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</borders>
  <cellStyleXfs count="6">
    <xf numFmtId="0" fontId="0" fillId="0" borderId="0"/>
    <xf numFmtId="49" fontId="3" fillId="0" borderId="5">
      <alignment horizontal="center" vertical="center" wrapText="1"/>
    </xf>
    <xf numFmtId="0" fontId="7" fillId="0" borderId="0" applyFont="0" applyFill="0" applyBorder="0" applyAlignment="0" applyProtection="0"/>
    <xf numFmtId="49" fontId="3" fillId="0" borderId="5">
      <alignment horizontal="center" vertical="center" wrapText="1"/>
    </xf>
    <xf numFmtId="4" fontId="9" fillId="2" borderId="17">
      <alignment horizontal="right" shrinkToFit="1"/>
    </xf>
    <xf numFmtId="4" fontId="3" fillId="4" borderId="5">
      <alignment horizontal="right" vertical="top" shrinkToFit="1"/>
    </xf>
  </cellStyleXfs>
  <cellXfs count="92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 wrapText="1"/>
    </xf>
    <xf numFmtId="164" fontId="5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2" fontId="2" fillId="0" borderId="0" xfId="0" applyNumberFormat="1" applyFont="1" applyFill="1"/>
    <xf numFmtId="2" fontId="1" fillId="0" borderId="0" xfId="0" applyNumberFormat="1" applyFont="1" applyFill="1"/>
    <xf numFmtId="164" fontId="2" fillId="0" borderId="0" xfId="0" applyNumberFormat="1" applyFont="1" applyFill="1"/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/>
    </xf>
    <xf numFmtId="164" fontId="1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 wrapText="1"/>
    </xf>
    <xf numFmtId="164" fontId="5" fillId="0" borderId="2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 applyProtection="1">
      <alignment horizontal="right" vertical="center"/>
      <protection locked="0"/>
    </xf>
    <xf numFmtId="164" fontId="2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/>
    </xf>
    <xf numFmtId="164" fontId="6" fillId="0" borderId="1" xfId="2" applyNumberFormat="1" applyFont="1" applyFill="1" applyBorder="1" applyAlignment="1" applyProtection="1">
      <alignment horizontal="right" vertical="center" wrapText="1"/>
      <protection locked="0" hidden="1"/>
    </xf>
    <xf numFmtId="164" fontId="8" fillId="0" borderId="1" xfId="3" applyNumberFormat="1" applyFont="1" applyFill="1" applyBorder="1" applyAlignment="1" applyProtection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/>
    </xf>
    <xf numFmtId="164" fontId="6" fillId="0" borderId="2" xfId="0" applyNumberFormat="1" applyFont="1" applyFill="1" applyBorder="1" applyAlignment="1">
      <alignment horizontal="right" vertical="center"/>
    </xf>
    <xf numFmtId="164" fontId="8" fillId="0" borderId="1" xfId="1" applyNumberFormat="1" applyFont="1" applyFill="1" applyBorder="1" applyAlignment="1" applyProtection="1">
      <alignment horizontal="right" vertical="center" shrinkToFit="1"/>
    </xf>
    <xf numFmtId="164" fontId="5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16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left" vertical="center" wrapText="1"/>
    </xf>
    <xf numFmtId="4" fontId="1" fillId="0" borderId="4" xfId="0" applyNumberFormat="1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</cellXfs>
  <cellStyles count="6">
    <cellStyle name="xl23" xfId="3"/>
    <cellStyle name="xl34" xfId="4"/>
    <cellStyle name="xl35" xfId="5"/>
    <cellStyle name="xl36" xfId="1"/>
    <cellStyle name="Обычный" xfId="0" builtinId="0"/>
    <cellStyle name="Финансовый_Лист2" xfId="2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Z1048576"/>
  <sheetViews>
    <sheetView tabSelected="1" view="pageBreakPreview" zoomScale="80" zoomScaleNormal="80" zoomScaleSheetLayoutView="80" workbookViewId="0">
      <pane xSplit="1" ySplit="5" topLeftCell="B12" activePane="bottomRight" state="frozen"/>
      <selection pane="topRight" activeCell="B1" sqref="B1"/>
      <selection pane="bottomLeft" activeCell="A7" sqref="A7"/>
      <selection pane="bottomRight" sqref="A1:HX1"/>
    </sheetView>
  </sheetViews>
  <sheetFormatPr defaultColWidth="27.28515625" defaultRowHeight="12.75" x14ac:dyDescent="0.2"/>
  <cols>
    <col min="1" max="1" width="33.5703125" style="1" customWidth="1"/>
    <col min="2" max="2" width="18.140625" style="1" customWidth="1"/>
    <col min="3" max="3" width="15.28515625" style="1" customWidth="1"/>
    <col min="4" max="4" width="13.5703125" style="1" customWidth="1"/>
    <col min="5" max="5" width="18.7109375" style="1" customWidth="1"/>
    <col min="6" max="6" width="16.140625" style="1" customWidth="1"/>
    <col min="7" max="7" width="12.85546875" style="1" customWidth="1"/>
    <col min="8" max="8" width="17" style="1" customWidth="1"/>
    <col min="9" max="9" width="16.85546875" style="1" customWidth="1"/>
    <col min="10" max="10" width="14.7109375" style="1" customWidth="1"/>
    <col min="11" max="11" width="17.42578125" style="1" customWidth="1"/>
    <col min="12" max="12" width="15.5703125" style="1" customWidth="1"/>
    <col min="13" max="13" width="12.85546875" style="1" customWidth="1"/>
    <col min="14" max="14" width="19.28515625" style="1" customWidth="1"/>
    <col min="15" max="15" width="17.42578125" style="1" customWidth="1"/>
    <col min="16" max="16" width="12.85546875" style="1" customWidth="1"/>
    <col min="17" max="17" width="18.42578125" style="1" customWidth="1"/>
    <col min="18" max="18" width="16.7109375" style="1" customWidth="1"/>
    <col min="19" max="19" width="12.85546875" style="1" customWidth="1"/>
    <col min="20" max="20" width="19.5703125" style="1" customWidth="1"/>
    <col min="21" max="21" width="17.42578125" style="1" customWidth="1"/>
    <col min="22" max="22" width="12.140625" style="1" customWidth="1"/>
    <col min="23" max="23" width="20.5703125" style="1" customWidth="1"/>
    <col min="24" max="24" width="17.7109375" style="1" customWidth="1"/>
    <col min="25" max="25" width="12.85546875" style="1" customWidth="1"/>
    <col min="26" max="26" width="21.140625" style="1" customWidth="1"/>
    <col min="27" max="27" width="16" style="1" customWidth="1"/>
    <col min="28" max="28" width="12.85546875" style="1" customWidth="1"/>
    <col min="29" max="29" width="16.140625" style="1" customWidth="1"/>
    <col min="30" max="31" width="15.5703125" style="1" customWidth="1"/>
    <col min="32" max="32" width="16.140625" style="1" customWidth="1"/>
    <col min="33" max="33" width="14.7109375" style="1" customWidth="1"/>
    <col min="34" max="34" width="15.5703125" style="1" customWidth="1"/>
    <col min="35" max="35" width="21" style="1" customWidth="1"/>
    <col min="36" max="36" width="13.28515625" style="1" customWidth="1"/>
    <col min="37" max="37" width="14" style="1" customWidth="1"/>
    <col min="38" max="38" width="19.28515625" style="1" customWidth="1"/>
    <col min="39" max="39" width="13.7109375" style="1" customWidth="1"/>
    <col min="40" max="40" width="18.28515625" style="1" customWidth="1"/>
    <col min="41" max="41" width="17.42578125" style="1" customWidth="1"/>
    <col min="42" max="42" width="16" style="1" customWidth="1"/>
    <col min="43" max="43" width="14.5703125" style="1" customWidth="1"/>
    <col min="44" max="44" width="16.5703125" style="1" customWidth="1"/>
    <col min="45" max="45" width="14.140625" style="1" customWidth="1"/>
    <col min="46" max="46" width="14.42578125" style="1" customWidth="1"/>
    <col min="47" max="47" width="18.5703125" style="1" customWidth="1"/>
    <col min="48" max="48" width="13.42578125" style="1" customWidth="1"/>
    <col min="49" max="49" width="14.42578125" style="1" customWidth="1"/>
    <col min="50" max="50" width="19.42578125" style="1" customWidth="1"/>
    <col min="51" max="51" width="13.5703125" style="1" customWidth="1"/>
    <col min="52" max="52" width="13.7109375" style="1" customWidth="1"/>
    <col min="53" max="53" width="18.85546875" style="1" customWidth="1"/>
    <col min="54" max="54" width="17.28515625" style="1" customWidth="1"/>
    <col min="55" max="55" width="15.7109375" style="1" customWidth="1"/>
    <col min="56" max="56" width="18.5703125" style="1" customWidth="1"/>
    <col min="57" max="57" width="17.85546875" style="1" customWidth="1"/>
    <col min="58" max="58" width="16" style="1" customWidth="1"/>
    <col min="59" max="59" width="15.28515625" style="1" customWidth="1"/>
    <col min="60" max="60" width="14.28515625" style="1" customWidth="1"/>
    <col min="61" max="61" width="16.42578125" style="1" customWidth="1"/>
    <col min="62" max="62" width="17.28515625" style="1" customWidth="1"/>
    <col min="63" max="63" width="14.140625" style="1" customWidth="1"/>
    <col min="64" max="64" width="15.85546875" style="1" customWidth="1"/>
    <col min="65" max="65" width="18.5703125" style="1" customWidth="1"/>
    <col min="66" max="66" width="18.7109375" style="1" customWidth="1"/>
    <col min="67" max="67" width="12.28515625" style="1" customWidth="1"/>
    <col min="68" max="68" width="18.7109375" style="1" customWidth="1"/>
    <col min="69" max="69" width="17.5703125" style="1" customWidth="1"/>
    <col min="70" max="70" width="11.5703125" style="1" customWidth="1"/>
    <col min="71" max="71" width="18.42578125" style="1" customWidth="1"/>
    <col min="72" max="72" width="17.42578125" style="1" customWidth="1"/>
    <col min="73" max="73" width="11.5703125" style="1" customWidth="1"/>
    <col min="74" max="74" width="20.42578125" style="1" customWidth="1"/>
    <col min="75" max="75" width="14.28515625" style="1" customWidth="1"/>
    <col min="76" max="76" width="13.5703125" style="1" customWidth="1"/>
    <col min="77" max="77" width="22.140625" style="1" customWidth="1"/>
    <col min="78" max="78" width="18.42578125" style="1" customWidth="1"/>
    <col min="79" max="79" width="14.85546875" style="1" customWidth="1"/>
    <col min="80" max="80" width="16" style="1" customWidth="1"/>
    <col min="81" max="81" width="14.5703125" style="1" customWidth="1"/>
    <col min="82" max="82" width="11.5703125" style="1" customWidth="1"/>
    <col min="83" max="83" width="19.85546875" style="1" customWidth="1"/>
    <col min="84" max="84" width="14.5703125" style="1" customWidth="1"/>
    <col min="85" max="85" width="15.140625" style="1" customWidth="1"/>
    <col min="86" max="86" width="19" style="1" customWidth="1"/>
    <col min="87" max="87" width="13.42578125" style="1" customWidth="1"/>
    <col min="88" max="88" width="15.42578125" style="1" customWidth="1"/>
    <col min="89" max="89" width="19.42578125" style="1" customWidth="1"/>
    <col min="90" max="90" width="13.140625" style="1" customWidth="1"/>
    <col min="91" max="91" width="15.28515625" style="1" customWidth="1"/>
    <col min="92" max="92" width="20.85546875" style="1" customWidth="1"/>
    <col min="93" max="93" width="13.85546875" style="1" customWidth="1"/>
    <col min="94" max="94" width="16.140625" style="1" customWidth="1"/>
    <col min="95" max="95" width="18.42578125" style="1" customWidth="1"/>
    <col min="96" max="96" width="17.140625" style="1" customWidth="1"/>
    <col min="97" max="97" width="15.5703125" style="1" customWidth="1"/>
    <col min="98" max="98" width="18.5703125" style="1" customWidth="1"/>
    <col min="99" max="99" width="16" style="1" customWidth="1"/>
    <col min="100" max="100" width="13.42578125" style="1" customWidth="1"/>
    <col min="101" max="101" width="17.7109375" style="1" customWidth="1"/>
    <col min="102" max="102" width="15" style="1" customWidth="1"/>
    <col min="103" max="103" width="15.28515625" style="1" customWidth="1"/>
    <col min="104" max="104" width="19.140625" style="1" customWidth="1"/>
    <col min="105" max="106" width="16.5703125" style="1" customWidth="1"/>
    <col min="107" max="107" width="15.28515625" style="1" customWidth="1"/>
    <col min="108" max="108" width="14.28515625" style="1" customWidth="1"/>
    <col min="109" max="109" width="14.5703125" style="1" customWidth="1"/>
    <col min="110" max="110" width="15.7109375" style="1" customWidth="1"/>
    <col min="111" max="111" width="14.140625" style="1" customWidth="1"/>
    <col min="112" max="112" width="11.5703125" style="1" customWidth="1"/>
    <col min="113" max="113" width="18.7109375" style="1" customWidth="1"/>
    <col min="114" max="114" width="19" style="1" customWidth="1"/>
    <col min="115" max="115" width="15.28515625" style="1" customWidth="1"/>
    <col min="116" max="116" width="20" style="1" customWidth="1"/>
    <col min="117" max="117" width="16.7109375" style="1" customWidth="1"/>
    <col min="118" max="118" width="17.42578125" style="1" customWidth="1"/>
    <col min="119" max="119" width="21.85546875" style="1" customWidth="1"/>
    <col min="120" max="120" width="14.85546875" style="1" customWidth="1"/>
    <col min="121" max="121" width="16" style="1" customWidth="1"/>
    <col min="122" max="122" width="19.42578125" style="1" customWidth="1"/>
    <col min="123" max="123" width="13.85546875" style="1" customWidth="1"/>
    <col min="124" max="124" width="16.42578125" style="1" customWidth="1"/>
    <col min="125" max="125" width="17.5703125" style="1" customWidth="1"/>
    <col min="126" max="126" width="13.42578125" style="1" customWidth="1"/>
    <col min="127" max="127" width="14.28515625" style="1" customWidth="1"/>
    <col min="128" max="128" width="18" style="1" customWidth="1"/>
    <col min="129" max="129" width="16.28515625" style="1" customWidth="1"/>
    <col min="130" max="130" width="15.140625" style="1" customWidth="1"/>
    <col min="131" max="131" width="18.42578125" style="1" customWidth="1"/>
    <col min="132" max="132" width="14.28515625" style="1" customWidth="1"/>
    <col min="133" max="133" width="14.140625" style="1" customWidth="1"/>
    <col min="134" max="134" width="16.140625" style="1" customWidth="1"/>
    <col min="135" max="135" width="19.140625" style="1" customWidth="1"/>
    <col min="136" max="136" width="14.28515625" style="1" customWidth="1"/>
    <col min="137" max="137" width="18.5703125" style="1" customWidth="1"/>
    <col min="138" max="138" width="13.5703125" style="1" customWidth="1"/>
    <col min="139" max="139" width="14.28515625" style="1" customWidth="1"/>
    <col min="140" max="140" width="19.140625" style="1" customWidth="1"/>
    <col min="141" max="141" width="15.140625" style="1" customWidth="1"/>
    <col min="142" max="142" width="14.85546875" style="1" customWidth="1"/>
    <col min="143" max="143" width="19" style="1" customWidth="1"/>
    <col min="144" max="144" width="16.140625" style="1" customWidth="1"/>
    <col min="145" max="145" width="15.85546875" style="1" customWidth="1"/>
    <col min="146" max="146" width="15" style="1" customWidth="1"/>
    <col min="147" max="147" width="18" style="1" customWidth="1"/>
    <col min="148" max="148" width="15" style="1" customWidth="1"/>
    <col min="149" max="149" width="18.28515625" style="1" customWidth="1"/>
    <col min="150" max="150" width="14" style="1" customWidth="1"/>
    <col min="151" max="151" width="15" style="1" customWidth="1"/>
    <col min="152" max="152" width="18.5703125" style="1" customWidth="1"/>
    <col min="153" max="153" width="16.85546875" style="1" customWidth="1"/>
    <col min="154" max="154" width="15.140625" style="1" customWidth="1"/>
    <col min="155" max="155" width="19.85546875" style="1" customWidth="1"/>
    <col min="156" max="156" width="13.5703125" style="1" customWidth="1"/>
    <col min="157" max="157" width="15.28515625" style="1" customWidth="1"/>
    <col min="158" max="158" width="21.85546875" style="1" customWidth="1"/>
    <col min="159" max="159" width="14.28515625" style="1" customWidth="1"/>
    <col min="160" max="160" width="16.5703125" style="1" customWidth="1"/>
    <col min="161" max="161" width="19.140625" style="1" customWidth="1"/>
    <col min="162" max="162" width="14.7109375" style="1" customWidth="1"/>
    <col min="163" max="163" width="16.140625" style="1" customWidth="1"/>
    <col min="164" max="164" width="21.140625" style="1" customWidth="1"/>
    <col min="165" max="165" width="13.140625" style="1" customWidth="1"/>
    <col min="166" max="166" width="14.140625" style="1" customWidth="1"/>
    <col min="167" max="167" width="19.85546875" style="1" customWidth="1"/>
    <col min="168" max="168" width="14.28515625" style="1" customWidth="1"/>
    <col min="169" max="169" width="14.5703125" style="1" customWidth="1"/>
    <col min="170" max="170" width="19.28515625" style="1" customWidth="1"/>
    <col min="171" max="171" width="14" style="1" customWidth="1"/>
    <col min="172" max="172" width="15.28515625" style="1" customWidth="1"/>
    <col min="173" max="173" width="15" style="1" customWidth="1"/>
    <col min="174" max="174" width="14.7109375" style="1" customWidth="1"/>
    <col min="175" max="175" width="14.85546875" style="1" customWidth="1"/>
    <col min="176" max="176" width="17.140625" style="1" customWidth="1"/>
    <col min="177" max="177" width="15" style="1" customWidth="1"/>
    <col min="178" max="178" width="16.5703125" style="1" customWidth="1"/>
    <col min="179" max="179" width="19.28515625" style="1" customWidth="1"/>
    <col min="180" max="180" width="15.28515625" style="1" customWidth="1"/>
    <col min="181" max="181" width="20.7109375" style="1" customWidth="1"/>
    <col min="182" max="182" width="16.42578125" style="1" customWidth="1"/>
    <col min="183" max="183" width="15.85546875" style="1" customWidth="1"/>
    <col min="184" max="184" width="16.42578125" style="1" customWidth="1"/>
    <col min="185" max="185" width="15.85546875" style="1" customWidth="1"/>
    <col min="186" max="186" width="14.140625" style="1" customWidth="1"/>
    <col min="187" max="187" width="11.5703125" style="1" customWidth="1"/>
    <col min="188" max="188" width="21.7109375" style="1" customWidth="1"/>
    <col min="189" max="189" width="14.7109375" style="1" customWidth="1"/>
    <col min="190" max="190" width="21.7109375" style="1" customWidth="1"/>
    <col min="191" max="191" width="19.42578125" style="1" customWidth="1"/>
    <col min="192" max="192" width="18.28515625" style="1" customWidth="1"/>
    <col min="193" max="193" width="15.140625" style="1" customWidth="1"/>
    <col min="194" max="194" width="18.85546875" style="1" customWidth="1"/>
    <col min="195" max="195" width="16.7109375" style="1" customWidth="1"/>
    <col min="196" max="196" width="15" style="1" customWidth="1"/>
    <col min="197" max="197" width="18.28515625" style="1" customWidth="1"/>
    <col min="198" max="198" width="14.28515625" style="1" customWidth="1"/>
    <col min="199" max="199" width="11.5703125" style="1" customWidth="1"/>
    <col min="200" max="200" width="17.85546875" style="1" customWidth="1"/>
    <col min="201" max="201" width="14.42578125" style="1" customWidth="1"/>
    <col min="202" max="202" width="14.5703125" style="1" customWidth="1"/>
    <col min="203" max="203" width="18.7109375" style="1" customWidth="1"/>
    <col min="204" max="204" width="16.42578125" style="1" customWidth="1"/>
    <col min="205" max="205" width="14.85546875" style="1" customWidth="1"/>
    <col min="206" max="206" width="19" style="1" customWidth="1"/>
    <col min="207" max="207" width="17.42578125" style="1" customWidth="1"/>
    <col min="208" max="208" width="16" style="1" customWidth="1"/>
    <col min="209" max="209" width="15.28515625" style="1" customWidth="1"/>
    <col min="210" max="210" width="16.85546875" style="1" customWidth="1"/>
    <col min="211" max="211" width="15.5703125" style="1" customWidth="1"/>
    <col min="212" max="212" width="18.42578125" style="1" customWidth="1"/>
    <col min="213" max="213" width="17.7109375" style="1" customWidth="1"/>
    <col min="214" max="214" width="16.85546875" style="1" customWidth="1"/>
    <col min="215" max="215" width="19.28515625" style="6" customWidth="1"/>
    <col min="216" max="216" width="14.85546875" style="6" customWidth="1"/>
    <col min="217" max="217" width="11.5703125" style="6" customWidth="1"/>
    <col min="218" max="218" width="15.7109375" style="6" customWidth="1"/>
    <col min="219" max="219" width="17.42578125" style="6" customWidth="1"/>
    <col min="220" max="220" width="11.5703125" style="6" customWidth="1"/>
    <col min="221" max="221" width="19.5703125" style="6" customWidth="1"/>
    <col min="222" max="222" width="14.7109375" style="6" customWidth="1"/>
    <col min="223" max="223" width="17.28515625" style="6" customWidth="1"/>
    <col min="224" max="224" width="20.140625" style="6" customWidth="1"/>
    <col min="225" max="225" width="14.140625" style="6" customWidth="1"/>
    <col min="226" max="226" width="14.5703125" style="6" customWidth="1"/>
    <col min="227" max="227" width="20.85546875" style="6" customWidth="1"/>
    <col min="228" max="228" width="19" style="6" customWidth="1"/>
    <col min="229" max="229" width="14.85546875" style="6" customWidth="1"/>
    <col min="230" max="230" width="16.85546875" style="1" customWidth="1"/>
    <col min="231" max="231" width="19.140625" style="1" customWidth="1"/>
    <col min="232" max="232" width="12.85546875" style="1" customWidth="1"/>
    <col min="233" max="233" width="19.140625" style="1" customWidth="1"/>
    <col min="234" max="234" width="16.140625" style="1" customWidth="1"/>
    <col min="235" max="235" width="11.7109375" style="1" customWidth="1"/>
    <col min="236" max="236" width="16.7109375" style="1" customWidth="1"/>
    <col min="237" max="237" width="19.140625" style="1" customWidth="1"/>
    <col min="238" max="238" width="11.7109375" style="1" customWidth="1"/>
    <col min="239" max="239" width="15" style="1" customWidth="1"/>
    <col min="240" max="240" width="18.85546875" style="1" customWidth="1"/>
    <col min="241" max="241" width="17.42578125" style="1" customWidth="1"/>
    <col min="242" max="242" width="18" style="1" customWidth="1"/>
    <col min="243" max="243" width="14.7109375" style="1" customWidth="1"/>
    <col min="244" max="244" width="16.7109375" style="1" customWidth="1"/>
    <col min="245" max="245" width="15.5703125" style="1" customWidth="1"/>
    <col min="246" max="246" width="14.140625" style="1" customWidth="1"/>
    <col min="247" max="247" width="11.7109375" style="1" customWidth="1"/>
    <col min="248" max="248" width="18" style="1" customWidth="1"/>
    <col min="249" max="249" width="15" style="1" customWidth="1"/>
    <col min="250" max="250" width="18.140625" style="1" customWidth="1"/>
    <col min="251" max="251" width="20" style="1" customWidth="1"/>
    <col min="252" max="252" width="19.42578125" style="1" customWidth="1"/>
    <col min="253" max="253" width="15.7109375" style="1" customWidth="1"/>
    <col min="254" max="254" width="15.28515625" style="1" customWidth="1"/>
    <col min="255" max="255" width="18.42578125" style="1" bestFit="1" customWidth="1"/>
    <col min="256" max="256" width="11.7109375" style="2" customWidth="1"/>
    <col min="257" max="16384" width="27.28515625" style="1"/>
  </cols>
  <sheetData>
    <row r="1" spans="1:260" ht="30" customHeight="1" x14ac:dyDescent="0.2">
      <c r="A1" s="79" t="s">
        <v>198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  <c r="EL1" s="79"/>
      <c r="EM1" s="79"/>
      <c r="EN1" s="79"/>
      <c r="EO1" s="79"/>
      <c r="EP1" s="79"/>
      <c r="EQ1" s="79"/>
      <c r="ER1" s="79"/>
      <c r="ES1" s="79"/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  <c r="FF1" s="79"/>
      <c r="FG1" s="79"/>
      <c r="FH1" s="79"/>
      <c r="FI1" s="79"/>
      <c r="FJ1" s="79"/>
      <c r="FK1" s="79"/>
      <c r="FL1" s="79"/>
      <c r="FM1" s="79"/>
      <c r="FN1" s="79"/>
      <c r="FO1" s="79"/>
      <c r="FP1" s="79"/>
      <c r="FQ1" s="79"/>
      <c r="FR1" s="79"/>
      <c r="FS1" s="79"/>
      <c r="FT1" s="79"/>
      <c r="FU1" s="79"/>
      <c r="FV1" s="79"/>
      <c r="FW1" s="79"/>
      <c r="FX1" s="79"/>
      <c r="FY1" s="79"/>
      <c r="FZ1" s="79"/>
      <c r="GA1" s="79"/>
      <c r="GB1" s="79"/>
      <c r="GC1" s="79"/>
      <c r="GD1" s="79"/>
      <c r="GE1" s="79"/>
      <c r="GF1" s="79"/>
      <c r="GG1" s="79"/>
      <c r="GH1" s="79"/>
      <c r="GI1" s="79"/>
      <c r="GJ1" s="79"/>
      <c r="GK1" s="79"/>
      <c r="GL1" s="79"/>
      <c r="GM1" s="79"/>
      <c r="GN1" s="79"/>
      <c r="GO1" s="79"/>
      <c r="GP1" s="79"/>
      <c r="GQ1" s="79"/>
      <c r="GR1" s="79"/>
      <c r="GS1" s="79"/>
      <c r="GT1" s="79"/>
      <c r="GU1" s="79"/>
      <c r="GV1" s="79"/>
      <c r="GW1" s="79"/>
      <c r="GX1" s="79"/>
      <c r="GY1" s="79"/>
      <c r="GZ1" s="79"/>
      <c r="HA1" s="79"/>
      <c r="HB1" s="79"/>
      <c r="HC1" s="79"/>
      <c r="HD1" s="79"/>
      <c r="HE1" s="79"/>
      <c r="HF1" s="79"/>
      <c r="HG1" s="79"/>
      <c r="HH1" s="79"/>
      <c r="HI1" s="79"/>
      <c r="HJ1" s="79"/>
      <c r="HK1" s="79"/>
      <c r="HL1" s="79"/>
      <c r="HM1" s="79"/>
      <c r="HN1" s="79"/>
      <c r="HO1" s="79"/>
      <c r="HP1" s="79"/>
      <c r="HQ1" s="79"/>
      <c r="HR1" s="79"/>
      <c r="HS1" s="79"/>
      <c r="HT1" s="79"/>
      <c r="HU1" s="79"/>
      <c r="HV1" s="79"/>
      <c r="HW1" s="79"/>
      <c r="HX1" s="79"/>
      <c r="IV1" s="2" t="s">
        <v>54</v>
      </c>
    </row>
    <row r="2" spans="1:260" s="3" customFormat="1" ht="14.25" customHeight="1" x14ac:dyDescent="0.2">
      <c r="A2" s="44" t="s">
        <v>49</v>
      </c>
      <c r="B2" s="53" t="s">
        <v>42</v>
      </c>
      <c r="C2" s="54"/>
      <c r="D2" s="55"/>
      <c r="E2" s="42" t="s">
        <v>44</v>
      </c>
      <c r="F2" s="42"/>
      <c r="G2" s="42"/>
      <c r="H2" s="42"/>
      <c r="I2" s="42"/>
      <c r="J2" s="42"/>
      <c r="K2" s="42"/>
      <c r="L2" s="42"/>
      <c r="M2" s="43"/>
      <c r="N2" s="53" t="s">
        <v>45</v>
      </c>
      <c r="O2" s="54"/>
      <c r="P2" s="55"/>
      <c r="Q2" s="50" t="s">
        <v>44</v>
      </c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2"/>
      <c r="ED2" s="53" t="s">
        <v>46</v>
      </c>
      <c r="EE2" s="54"/>
      <c r="EF2" s="55"/>
      <c r="EG2" s="50" t="s">
        <v>44</v>
      </c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51"/>
      <c r="GL2" s="51"/>
      <c r="GM2" s="51"/>
      <c r="GN2" s="51"/>
      <c r="GO2" s="51"/>
      <c r="GP2" s="51"/>
      <c r="GQ2" s="51"/>
      <c r="GR2" s="51"/>
      <c r="GS2" s="51"/>
      <c r="GT2" s="51"/>
      <c r="GU2" s="51"/>
      <c r="GV2" s="51"/>
      <c r="GW2" s="51"/>
      <c r="GX2" s="51"/>
      <c r="GY2" s="51"/>
      <c r="GZ2" s="51"/>
      <c r="HA2" s="51"/>
      <c r="HB2" s="51"/>
      <c r="HC2" s="51"/>
      <c r="HD2" s="51"/>
      <c r="HE2" s="51"/>
      <c r="HF2" s="52"/>
      <c r="HG2" s="62" t="s">
        <v>47</v>
      </c>
      <c r="HH2" s="63"/>
      <c r="HI2" s="64"/>
      <c r="HJ2" s="84" t="s">
        <v>44</v>
      </c>
      <c r="HK2" s="85"/>
      <c r="HL2" s="85"/>
      <c r="HM2" s="85"/>
      <c r="HN2" s="85"/>
      <c r="HO2" s="85"/>
      <c r="HP2" s="85"/>
      <c r="HQ2" s="85"/>
      <c r="HR2" s="85"/>
      <c r="HS2" s="85"/>
      <c r="HT2" s="85"/>
      <c r="HU2" s="85"/>
      <c r="HV2" s="85"/>
      <c r="HW2" s="85"/>
      <c r="HX2" s="85"/>
      <c r="HY2" s="85"/>
      <c r="HZ2" s="85"/>
      <c r="IA2" s="85"/>
      <c r="IB2" s="85"/>
      <c r="IC2" s="85"/>
      <c r="ID2" s="85"/>
      <c r="IE2" s="85"/>
      <c r="IF2" s="85"/>
      <c r="IG2" s="85"/>
      <c r="IH2" s="85"/>
      <c r="II2" s="85"/>
      <c r="IJ2" s="85"/>
      <c r="IK2" s="85"/>
      <c r="IL2" s="85"/>
      <c r="IM2" s="85"/>
      <c r="IN2" s="85"/>
      <c r="IO2" s="85"/>
      <c r="IP2" s="85"/>
      <c r="IQ2" s="85"/>
      <c r="IR2" s="85"/>
      <c r="IS2" s="86"/>
      <c r="IT2" s="80" t="s">
        <v>48</v>
      </c>
      <c r="IU2" s="80"/>
      <c r="IV2" s="80"/>
    </row>
    <row r="3" spans="1:260" s="4" customFormat="1" ht="105.75" customHeight="1" x14ac:dyDescent="0.2">
      <c r="A3" s="45"/>
      <c r="B3" s="56"/>
      <c r="C3" s="57"/>
      <c r="D3" s="58"/>
      <c r="E3" s="41" t="s">
        <v>3</v>
      </c>
      <c r="F3" s="42"/>
      <c r="G3" s="43"/>
      <c r="H3" s="41" t="s">
        <v>4</v>
      </c>
      <c r="I3" s="42"/>
      <c r="J3" s="43"/>
      <c r="K3" s="41" t="s">
        <v>5</v>
      </c>
      <c r="L3" s="42"/>
      <c r="M3" s="43"/>
      <c r="N3" s="56"/>
      <c r="O3" s="57"/>
      <c r="P3" s="58"/>
      <c r="Q3" s="41" t="s">
        <v>58</v>
      </c>
      <c r="R3" s="42"/>
      <c r="S3" s="43"/>
      <c r="T3" s="41" t="s">
        <v>59</v>
      </c>
      <c r="U3" s="42"/>
      <c r="V3" s="43"/>
      <c r="W3" s="41" t="s">
        <v>61</v>
      </c>
      <c r="X3" s="42"/>
      <c r="Y3" s="43"/>
      <c r="Z3" s="41" t="s">
        <v>63</v>
      </c>
      <c r="AA3" s="42"/>
      <c r="AB3" s="43"/>
      <c r="AC3" s="41" t="s">
        <v>65</v>
      </c>
      <c r="AD3" s="42"/>
      <c r="AE3" s="42"/>
      <c r="AF3" s="41" t="s">
        <v>67</v>
      </c>
      <c r="AG3" s="42"/>
      <c r="AH3" s="42"/>
      <c r="AI3" s="41" t="s">
        <v>69</v>
      </c>
      <c r="AJ3" s="42"/>
      <c r="AK3" s="43"/>
      <c r="AL3" s="41" t="s">
        <v>71</v>
      </c>
      <c r="AM3" s="42"/>
      <c r="AN3" s="43"/>
      <c r="AO3" s="41" t="s">
        <v>73</v>
      </c>
      <c r="AP3" s="42"/>
      <c r="AQ3" s="43"/>
      <c r="AR3" s="41" t="s">
        <v>75</v>
      </c>
      <c r="AS3" s="42"/>
      <c r="AT3" s="43"/>
      <c r="AU3" s="41" t="s">
        <v>77</v>
      </c>
      <c r="AV3" s="42"/>
      <c r="AW3" s="43"/>
      <c r="AX3" s="41" t="s">
        <v>79</v>
      </c>
      <c r="AY3" s="42"/>
      <c r="AZ3" s="43"/>
      <c r="BA3" s="41" t="s">
        <v>81</v>
      </c>
      <c r="BB3" s="42"/>
      <c r="BC3" s="43"/>
      <c r="BD3" s="41" t="s">
        <v>83</v>
      </c>
      <c r="BE3" s="42"/>
      <c r="BF3" s="43"/>
      <c r="BG3" s="41" t="s">
        <v>83</v>
      </c>
      <c r="BH3" s="42"/>
      <c r="BI3" s="43"/>
      <c r="BJ3" s="41" t="s">
        <v>86</v>
      </c>
      <c r="BK3" s="42"/>
      <c r="BL3" s="43"/>
      <c r="BM3" s="41" t="s">
        <v>88</v>
      </c>
      <c r="BN3" s="42"/>
      <c r="BO3" s="43"/>
      <c r="BP3" s="41" t="s">
        <v>90</v>
      </c>
      <c r="BQ3" s="42"/>
      <c r="BR3" s="43"/>
      <c r="BS3" s="41" t="s">
        <v>92</v>
      </c>
      <c r="BT3" s="42"/>
      <c r="BU3" s="43"/>
      <c r="BV3" s="41" t="s">
        <v>94</v>
      </c>
      <c r="BW3" s="42"/>
      <c r="BX3" s="43"/>
      <c r="BY3" s="41" t="s">
        <v>96</v>
      </c>
      <c r="BZ3" s="42"/>
      <c r="CA3" s="43"/>
      <c r="CB3" s="71" t="s">
        <v>98</v>
      </c>
      <c r="CC3" s="72"/>
      <c r="CD3" s="73"/>
      <c r="CE3" s="71" t="s">
        <v>98</v>
      </c>
      <c r="CF3" s="72"/>
      <c r="CG3" s="73"/>
      <c r="CH3" s="71" t="s">
        <v>98</v>
      </c>
      <c r="CI3" s="72"/>
      <c r="CJ3" s="73"/>
      <c r="CK3" s="71" t="s">
        <v>102</v>
      </c>
      <c r="CL3" s="72"/>
      <c r="CM3" s="73"/>
      <c r="CN3" s="71" t="s">
        <v>104</v>
      </c>
      <c r="CO3" s="72"/>
      <c r="CP3" s="73"/>
      <c r="CQ3" s="71" t="s">
        <v>106</v>
      </c>
      <c r="CR3" s="72"/>
      <c r="CS3" s="73"/>
      <c r="CT3" s="71" t="s">
        <v>108</v>
      </c>
      <c r="CU3" s="72"/>
      <c r="CV3" s="73"/>
      <c r="CW3" s="78" t="s">
        <v>110</v>
      </c>
      <c r="CX3" s="78"/>
      <c r="CY3" s="78"/>
      <c r="CZ3" s="78" t="s">
        <v>112</v>
      </c>
      <c r="DA3" s="78"/>
      <c r="DB3" s="78"/>
      <c r="DC3" s="78" t="s">
        <v>114</v>
      </c>
      <c r="DD3" s="78"/>
      <c r="DE3" s="78"/>
      <c r="DF3" s="78" t="s">
        <v>116</v>
      </c>
      <c r="DG3" s="78"/>
      <c r="DH3" s="78"/>
      <c r="DI3" s="71" t="s">
        <v>118</v>
      </c>
      <c r="DJ3" s="72"/>
      <c r="DK3" s="73"/>
      <c r="DL3" s="71" t="s">
        <v>120</v>
      </c>
      <c r="DM3" s="72"/>
      <c r="DN3" s="73"/>
      <c r="DO3" s="78" t="s">
        <v>122</v>
      </c>
      <c r="DP3" s="78"/>
      <c r="DQ3" s="78"/>
      <c r="DR3" s="78" t="s">
        <v>124</v>
      </c>
      <c r="DS3" s="78"/>
      <c r="DT3" s="78"/>
      <c r="DU3" s="78" t="s">
        <v>126</v>
      </c>
      <c r="DV3" s="78"/>
      <c r="DW3" s="78"/>
      <c r="DX3" s="71" t="s">
        <v>128</v>
      </c>
      <c r="DY3" s="72"/>
      <c r="DZ3" s="72"/>
      <c r="EA3" s="78" t="s">
        <v>130</v>
      </c>
      <c r="EB3" s="78"/>
      <c r="EC3" s="78"/>
      <c r="ED3" s="56"/>
      <c r="EE3" s="57"/>
      <c r="EF3" s="58"/>
      <c r="EG3" s="41" t="s">
        <v>132</v>
      </c>
      <c r="EH3" s="42"/>
      <c r="EI3" s="43"/>
      <c r="EJ3" s="41" t="s">
        <v>134</v>
      </c>
      <c r="EK3" s="42"/>
      <c r="EL3" s="43"/>
      <c r="EM3" s="41" t="s">
        <v>136</v>
      </c>
      <c r="EN3" s="42"/>
      <c r="EO3" s="43"/>
      <c r="EP3" s="41" t="s">
        <v>137</v>
      </c>
      <c r="EQ3" s="42"/>
      <c r="ER3" s="42"/>
      <c r="ES3" s="42"/>
      <c r="ET3" s="42"/>
      <c r="EU3" s="43"/>
      <c r="EV3" s="41" t="s">
        <v>140</v>
      </c>
      <c r="EW3" s="42"/>
      <c r="EX3" s="43"/>
      <c r="EY3" s="41" t="s">
        <v>142</v>
      </c>
      <c r="EZ3" s="42"/>
      <c r="FA3" s="43"/>
      <c r="FB3" s="41" t="s">
        <v>144</v>
      </c>
      <c r="FC3" s="42"/>
      <c r="FD3" s="43"/>
      <c r="FE3" s="41" t="s">
        <v>146</v>
      </c>
      <c r="FF3" s="42"/>
      <c r="FG3" s="43"/>
      <c r="FH3" s="41" t="s">
        <v>148</v>
      </c>
      <c r="FI3" s="42"/>
      <c r="FJ3" s="43"/>
      <c r="FK3" s="77" t="s">
        <v>150</v>
      </c>
      <c r="FL3" s="77"/>
      <c r="FM3" s="77"/>
      <c r="FN3" s="77" t="s">
        <v>152</v>
      </c>
      <c r="FO3" s="77"/>
      <c r="FP3" s="77"/>
      <c r="FQ3" s="41" t="s">
        <v>154</v>
      </c>
      <c r="FR3" s="42"/>
      <c r="FS3" s="43"/>
      <c r="FT3" s="71" t="s">
        <v>155</v>
      </c>
      <c r="FU3" s="72"/>
      <c r="FV3" s="73"/>
      <c r="FW3" s="41" t="s">
        <v>158</v>
      </c>
      <c r="FX3" s="42"/>
      <c r="FY3" s="43"/>
      <c r="FZ3" s="41" t="s">
        <v>160</v>
      </c>
      <c r="GA3" s="42"/>
      <c r="GB3" s="43"/>
      <c r="GC3" s="41" t="s">
        <v>162</v>
      </c>
      <c r="GD3" s="42"/>
      <c r="GE3" s="43"/>
      <c r="GF3" s="71" t="s">
        <v>164</v>
      </c>
      <c r="GG3" s="72"/>
      <c r="GH3" s="73"/>
      <c r="GI3" s="71" t="s">
        <v>165</v>
      </c>
      <c r="GJ3" s="72"/>
      <c r="GK3" s="73"/>
      <c r="GL3" s="71" t="s">
        <v>166</v>
      </c>
      <c r="GM3" s="72"/>
      <c r="GN3" s="73"/>
      <c r="GO3" s="41" t="s">
        <v>167</v>
      </c>
      <c r="GP3" s="42"/>
      <c r="GQ3" s="43"/>
      <c r="GR3" s="41" t="s">
        <v>169</v>
      </c>
      <c r="GS3" s="42"/>
      <c r="GT3" s="43"/>
      <c r="GU3" s="41" t="s">
        <v>171</v>
      </c>
      <c r="GV3" s="42"/>
      <c r="GW3" s="43"/>
      <c r="GX3" s="41" t="s">
        <v>173</v>
      </c>
      <c r="GY3" s="42"/>
      <c r="GZ3" s="43"/>
      <c r="HA3" s="41" t="s">
        <v>175</v>
      </c>
      <c r="HB3" s="42"/>
      <c r="HC3" s="43"/>
      <c r="HD3" s="41" t="s">
        <v>176</v>
      </c>
      <c r="HE3" s="42"/>
      <c r="HF3" s="43"/>
      <c r="HG3" s="65"/>
      <c r="HH3" s="66"/>
      <c r="HI3" s="67"/>
      <c r="HJ3" s="91" t="s">
        <v>179</v>
      </c>
      <c r="HK3" s="91"/>
      <c r="HL3" s="91"/>
      <c r="HM3" s="91" t="s">
        <v>180</v>
      </c>
      <c r="HN3" s="91"/>
      <c r="HO3" s="91"/>
      <c r="HP3" s="91" t="s">
        <v>181</v>
      </c>
      <c r="HQ3" s="91"/>
      <c r="HR3" s="91"/>
      <c r="HS3" s="88" t="s">
        <v>181</v>
      </c>
      <c r="HT3" s="89"/>
      <c r="HU3" s="89"/>
      <c r="HV3" s="89"/>
      <c r="HW3" s="89"/>
      <c r="HX3" s="89"/>
      <c r="HY3" s="89"/>
      <c r="HZ3" s="89"/>
      <c r="IA3" s="90"/>
      <c r="IB3" s="81" t="s">
        <v>187</v>
      </c>
      <c r="IC3" s="82"/>
      <c r="ID3" s="82"/>
      <c r="IE3" s="82"/>
      <c r="IF3" s="82"/>
      <c r="IG3" s="82"/>
      <c r="IH3" s="82"/>
      <c r="II3" s="82"/>
      <c r="IJ3" s="83"/>
      <c r="IK3" s="81" t="s">
        <v>191</v>
      </c>
      <c r="IL3" s="82"/>
      <c r="IM3" s="83"/>
      <c r="IN3" s="81" t="s">
        <v>192</v>
      </c>
      <c r="IO3" s="82"/>
      <c r="IP3" s="83"/>
      <c r="IQ3" s="81" t="s">
        <v>193</v>
      </c>
      <c r="IR3" s="82"/>
      <c r="IS3" s="83"/>
      <c r="IT3" s="80"/>
      <c r="IU3" s="80"/>
      <c r="IV3" s="80"/>
    </row>
    <row r="4" spans="1:260" s="5" customFormat="1" ht="17.25" customHeight="1" x14ac:dyDescent="0.2">
      <c r="A4" s="45"/>
      <c r="B4" s="59"/>
      <c r="C4" s="60"/>
      <c r="D4" s="61"/>
      <c r="E4" s="47" t="s">
        <v>0</v>
      </c>
      <c r="F4" s="48"/>
      <c r="G4" s="49"/>
      <c r="H4" s="47" t="s">
        <v>1</v>
      </c>
      <c r="I4" s="48"/>
      <c r="J4" s="49"/>
      <c r="K4" s="47" t="s">
        <v>2</v>
      </c>
      <c r="L4" s="48"/>
      <c r="M4" s="49"/>
      <c r="N4" s="59"/>
      <c r="O4" s="60"/>
      <c r="P4" s="61"/>
      <c r="Q4" s="47" t="s">
        <v>57</v>
      </c>
      <c r="R4" s="48"/>
      <c r="S4" s="49"/>
      <c r="T4" s="47" t="s">
        <v>60</v>
      </c>
      <c r="U4" s="48"/>
      <c r="V4" s="49"/>
      <c r="W4" s="47" t="s">
        <v>62</v>
      </c>
      <c r="X4" s="48"/>
      <c r="Y4" s="49"/>
      <c r="Z4" s="47" t="s">
        <v>64</v>
      </c>
      <c r="AA4" s="48"/>
      <c r="AB4" s="49"/>
      <c r="AC4" s="47" t="s">
        <v>66</v>
      </c>
      <c r="AD4" s="48"/>
      <c r="AE4" s="49"/>
      <c r="AF4" s="47" t="s">
        <v>68</v>
      </c>
      <c r="AG4" s="48"/>
      <c r="AH4" s="49"/>
      <c r="AI4" s="47" t="s">
        <v>70</v>
      </c>
      <c r="AJ4" s="48"/>
      <c r="AK4" s="49"/>
      <c r="AL4" s="47" t="s">
        <v>72</v>
      </c>
      <c r="AM4" s="48"/>
      <c r="AN4" s="49"/>
      <c r="AO4" s="47" t="s">
        <v>74</v>
      </c>
      <c r="AP4" s="48"/>
      <c r="AQ4" s="49"/>
      <c r="AR4" s="47" t="s">
        <v>76</v>
      </c>
      <c r="AS4" s="48"/>
      <c r="AT4" s="49"/>
      <c r="AU4" s="47" t="s">
        <v>78</v>
      </c>
      <c r="AV4" s="48"/>
      <c r="AW4" s="49"/>
      <c r="AX4" s="47" t="s">
        <v>80</v>
      </c>
      <c r="AY4" s="48"/>
      <c r="AZ4" s="49"/>
      <c r="BA4" s="47" t="s">
        <v>82</v>
      </c>
      <c r="BB4" s="48"/>
      <c r="BC4" s="49"/>
      <c r="BD4" s="47" t="s">
        <v>84</v>
      </c>
      <c r="BE4" s="48"/>
      <c r="BF4" s="49"/>
      <c r="BG4" s="47" t="s">
        <v>85</v>
      </c>
      <c r="BH4" s="48"/>
      <c r="BI4" s="49"/>
      <c r="BJ4" s="47" t="s">
        <v>87</v>
      </c>
      <c r="BK4" s="48"/>
      <c r="BL4" s="49"/>
      <c r="BM4" s="47" t="s">
        <v>89</v>
      </c>
      <c r="BN4" s="48"/>
      <c r="BO4" s="49"/>
      <c r="BP4" s="47" t="s">
        <v>91</v>
      </c>
      <c r="BQ4" s="48"/>
      <c r="BR4" s="49"/>
      <c r="BS4" s="47" t="s">
        <v>93</v>
      </c>
      <c r="BT4" s="48"/>
      <c r="BU4" s="49"/>
      <c r="BV4" s="47" t="s">
        <v>95</v>
      </c>
      <c r="BW4" s="48"/>
      <c r="BX4" s="49"/>
      <c r="BY4" s="47" t="s">
        <v>97</v>
      </c>
      <c r="BZ4" s="48"/>
      <c r="CA4" s="49"/>
      <c r="CB4" s="74" t="s">
        <v>99</v>
      </c>
      <c r="CC4" s="75"/>
      <c r="CD4" s="76"/>
      <c r="CE4" s="74" t="s">
        <v>100</v>
      </c>
      <c r="CF4" s="75"/>
      <c r="CG4" s="76"/>
      <c r="CH4" s="74" t="s">
        <v>101</v>
      </c>
      <c r="CI4" s="75"/>
      <c r="CJ4" s="76"/>
      <c r="CK4" s="74" t="s">
        <v>103</v>
      </c>
      <c r="CL4" s="75"/>
      <c r="CM4" s="76"/>
      <c r="CN4" s="74" t="s">
        <v>105</v>
      </c>
      <c r="CO4" s="75"/>
      <c r="CP4" s="76"/>
      <c r="CQ4" s="74" t="s">
        <v>107</v>
      </c>
      <c r="CR4" s="75"/>
      <c r="CS4" s="76"/>
      <c r="CT4" s="74" t="s">
        <v>109</v>
      </c>
      <c r="CU4" s="75"/>
      <c r="CV4" s="76"/>
      <c r="CW4" s="74" t="s">
        <v>111</v>
      </c>
      <c r="CX4" s="75"/>
      <c r="CY4" s="76"/>
      <c r="CZ4" s="74" t="s">
        <v>113</v>
      </c>
      <c r="DA4" s="75"/>
      <c r="DB4" s="76"/>
      <c r="DC4" s="74" t="s">
        <v>115</v>
      </c>
      <c r="DD4" s="75"/>
      <c r="DE4" s="76"/>
      <c r="DF4" s="74" t="s">
        <v>117</v>
      </c>
      <c r="DG4" s="75"/>
      <c r="DH4" s="76"/>
      <c r="DI4" s="74" t="s">
        <v>119</v>
      </c>
      <c r="DJ4" s="75"/>
      <c r="DK4" s="76"/>
      <c r="DL4" s="74" t="s">
        <v>121</v>
      </c>
      <c r="DM4" s="75"/>
      <c r="DN4" s="76"/>
      <c r="DO4" s="74" t="s">
        <v>123</v>
      </c>
      <c r="DP4" s="75"/>
      <c r="DQ4" s="76"/>
      <c r="DR4" s="74" t="s">
        <v>125</v>
      </c>
      <c r="DS4" s="75"/>
      <c r="DT4" s="76"/>
      <c r="DU4" s="74" t="s">
        <v>127</v>
      </c>
      <c r="DV4" s="75"/>
      <c r="DW4" s="76"/>
      <c r="DX4" s="74" t="s">
        <v>129</v>
      </c>
      <c r="DY4" s="75"/>
      <c r="DZ4" s="76"/>
      <c r="EA4" s="74" t="s">
        <v>131</v>
      </c>
      <c r="EB4" s="75"/>
      <c r="EC4" s="76"/>
      <c r="ED4" s="59"/>
      <c r="EE4" s="60"/>
      <c r="EF4" s="61"/>
      <c r="EG4" s="47" t="s">
        <v>133</v>
      </c>
      <c r="EH4" s="48"/>
      <c r="EI4" s="49"/>
      <c r="EJ4" s="74" t="s">
        <v>135</v>
      </c>
      <c r="EK4" s="75"/>
      <c r="EL4" s="76"/>
      <c r="EM4" s="47" t="s">
        <v>138</v>
      </c>
      <c r="EN4" s="48"/>
      <c r="EO4" s="49"/>
      <c r="EP4" s="47" t="s">
        <v>139</v>
      </c>
      <c r="EQ4" s="48"/>
      <c r="ER4" s="49"/>
      <c r="ES4" s="47" t="s">
        <v>197</v>
      </c>
      <c r="ET4" s="48"/>
      <c r="EU4" s="49"/>
      <c r="EV4" s="47" t="s">
        <v>141</v>
      </c>
      <c r="EW4" s="48"/>
      <c r="EX4" s="49"/>
      <c r="EY4" s="47" t="s">
        <v>143</v>
      </c>
      <c r="EZ4" s="48"/>
      <c r="FA4" s="49"/>
      <c r="FB4" s="47" t="s">
        <v>145</v>
      </c>
      <c r="FC4" s="48"/>
      <c r="FD4" s="49"/>
      <c r="FE4" s="47" t="s">
        <v>147</v>
      </c>
      <c r="FF4" s="48"/>
      <c r="FG4" s="49"/>
      <c r="FH4" s="47" t="s">
        <v>149</v>
      </c>
      <c r="FI4" s="48"/>
      <c r="FJ4" s="49"/>
      <c r="FK4" s="47" t="s">
        <v>151</v>
      </c>
      <c r="FL4" s="48"/>
      <c r="FM4" s="49"/>
      <c r="FN4" s="47" t="s">
        <v>153</v>
      </c>
      <c r="FO4" s="48"/>
      <c r="FP4" s="49"/>
      <c r="FQ4" s="47" t="s">
        <v>156</v>
      </c>
      <c r="FR4" s="48"/>
      <c r="FS4" s="49"/>
      <c r="FT4" s="47" t="s">
        <v>157</v>
      </c>
      <c r="FU4" s="48"/>
      <c r="FV4" s="49"/>
      <c r="FW4" s="47" t="s">
        <v>159</v>
      </c>
      <c r="FX4" s="48"/>
      <c r="FY4" s="49"/>
      <c r="FZ4" s="47" t="s">
        <v>161</v>
      </c>
      <c r="GA4" s="48"/>
      <c r="GB4" s="49"/>
      <c r="GC4" s="47" t="s">
        <v>163</v>
      </c>
      <c r="GD4" s="48"/>
      <c r="GE4" s="49"/>
      <c r="GF4" s="41">
        <v>1310379227</v>
      </c>
      <c r="GG4" s="42"/>
      <c r="GH4" s="43"/>
      <c r="GI4" s="41">
        <v>8800051180</v>
      </c>
      <c r="GJ4" s="42"/>
      <c r="GK4" s="43"/>
      <c r="GL4" s="41">
        <v>8800051200</v>
      </c>
      <c r="GM4" s="42"/>
      <c r="GN4" s="43"/>
      <c r="GO4" s="47" t="s">
        <v>168</v>
      </c>
      <c r="GP4" s="48"/>
      <c r="GQ4" s="49"/>
      <c r="GR4" s="47" t="s">
        <v>170</v>
      </c>
      <c r="GS4" s="48"/>
      <c r="GT4" s="49"/>
      <c r="GU4" s="47" t="s">
        <v>172</v>
      </c>
      <c r="GV4" s="48"/>
      <c r="GW4" s="49"/>
      <c r="GX4" s="47" t="s">
        <v>174</v>
      </c>
      <c r="GY4" s="48"/>
      <c r="GZ4" s="49"/>
      <c r="HA4" s="47" t="s">
        <v>178</v>
      </c>
      <c r="HB4" s="48"/>
      <c r="HC4" s="49"/>
      <c r="HD4" s="47" t="s">
        <v>177</v>
      </c>
      <c r="HE4" s="48"/>
      <c r="HF4" s="49"/>
      <c r="HG4" s="68"/>
      <c r="HH4" s="69"/>
      <c r="HI4" s="70"/>
      <c r="HJ4" s="87">
        <v>2730374303</v>
      </c>
      <c r="HK4" s="87"/>
      <c r="HL4" s="87"/>
      <c r="HM4" s="87" t="s">
        <v>182</v>
      </c>
      <c r="HN4" s="87"/>
      <c r="HO4" s="87"/>
      <c r="HP4" s="87" t="s">
        <v>183</v>
      </c>
      <c r="HQ4" s="87"/>
      <c r="HR4" s="87"/>
      <c r="HS4" s="87" t="s">
        <v>184</v>
      </c>
      <c r="HT4" s="87"/>
      <c r="HU4" s="87"/>
      <c r="HV4" s="47" t="s">
        <v>185</v>
      </c>
      <c r="HW4" s="48"/>
      <c r="HX4" s="49"/>
      <c r="HY4" s="47" t="s">
        <v>186</v>
      </c>
      <c r="HZ4" s="48"/>
      <c r="IA4" s="49"/>
      <c r="IB4" s="47" t="s">
        <v>188</v>
      </c>
      <c r="IC4" s="48"/>
      <c r="ID4" s="49"/>
      <c r="IE4" s="47" t="s">
        <v>189</v>
      </c>
      <c r="IF4" s="48"/>
      <c r="IG4" s="49"/>
      <c r="IH4" s="47" t="s">
        <v>190</v>
      </c>
      <c r="II4" s="48"/>
      <c r="IJ4" s="49"/>
      <c r="IK4" s="47" t="s">
        <v>194</v>
      </c>
      <c r="IL4" s="48"/>
      <c r="IM4" s="49"/>
      <c r="IN4" s="47" t="s">
        <v>195</v>
      </c>
      <c r="IO4" s="48"/>
      <c r="IP4" s="49"/>
      <c r="IQ4" s="47" t="s">
        <v>196</v>
      </c>
      <c r="IR4" s="48"/>
      <c r="IS4" s="49"/>
      <c r="IT4" s="80"/>
      <c r="IU4" s="80"/>
      <c r="IV4" s="80"/>
    </row>
    <row r="5" spans="1:260" s="4" customFormat="1" ht="59.25" customHeight="1" x14ac:dyDescent="0.2">
      <c r="A5" s="46"/>
      <c r="B5" s="19" t="s">
        <v>53</v>
      </c>
      <c r="C5" s="19" t="s">
        <v>43</v>
      </c>
      <c r="D5" s="19" t="s">
        <v>41</v>
      </c>
      <c r="E5" s="19" t="s">
        <v>53</v>
      </c>
      <c r="F5" s="19" t="s">
        <v>43</v>
      </c>
      <c r="G5" s="19" t="s">
        <v>41</v>
      </c>
      <c r="H5" s="19" t="s">
        <v>53</v>
      </c>
      <c r="I5" s="19" t="s">
        <v>43</v>
      </c>
      <c r="J5" s="19" t="s">
        <v>41</v>
      </c>
      <c r="K5" s="19" t="s">
        <v>53</v>
      </c>
      <c r="L5" s="19" t="s">
        <v>43</v>
      </c>
      <c r="M5" s="19" t="s">
        <v>41</v>
      </c>
      <c r="N5" s="19" t="s">
        <v>53</v>
      </c>
      <c r="O5" s="19" t="s">
        <v>43</v>
      </c>
      <c r="P5" s="19" t="s">
        <v>41</v>
      </c>
      <c r="Q5" s="19" t="s">
        <v>53</v>
      </c>
      <c r="R5" s="19" t="s">
        <v>43</v>
      </c>
      <c r="S5" s="19" t="s">
        <v>41</v>
      </c>
      <c r="T5" s="19" t="s">
        <v>53</v>
      </c>
      <c r="U5" s="19" t="s">
        <v>43</v>
      </c>
      <c r="V5" s="19" t="s">
        <v>41</v>
      </c>
      <c r="W5" s="19" t="s">
        <v>53</v>
      </c>
      <c r="X5" s="19" t="s">
        <v>43</v>
      </c>
      <c r="Y5" s="19" t="s">
        <v>41</v>
      </c>
      <c r="Z5" s="19" t="s">
        <v>53</v>
      </c>
      <c r="AA5" s="19" t="s">
        <v>43</v>
      </c>
      <c r="AB5" s="19" t="s">
        <v>41</v>
      </c>
      <c r="AC5" s="19" t="s">
        <v>53</v>
      </c>
      <c r="AD5" s="19" t="s">
        <v>43</v>
      </c>
      <c r="AE5" s="19" t="s">
        <v>41</v>
      </c>
      <c r="AF5" s="19" t="s">
        <v>53</v>
      </c>
      <c r="AG5" s="19" t="s">
        <v>43</v>
      </c>
      <c r="AH5" s="19" t="s">
        <v>41</v>
      </c>
      <c r="AI5" s="19" t="s">
        <v>53</v>
      </c>
      <c r="AJ5" s="19" t="s">
        <v>43</v>
      </c>
      <c r="AK5" s="19" t="s">
        <v>41</v>
      </c>
      <c r="AL5" s="19" t="s">
        <v>53</v>
      </c>
      <c r="AM5" s="19" t="s">
        <v>43</v>
      </c>
      <c r="AN5" s="19" t="s">
        <v>41</v>
      </c>
      <c r="AO5" s="19" t="s">
        <v>53</v>
      </c>
      <c r="AP5" s="19" t="s">
        <v>43</v>
      </c>
      <c r="AQ5" s="19" t="s">
        <v>41</v>
      </c>
      <c r="AR5" s="19" t="s">
        <v>53</v>
      </c>
      <c r="AS5" s="19" t="s">
        <v>43</v>
      </c>
      <c r="AT5" s="19" t="s">
        <v>41</v>
      </c>
      <c r="AU5" s="19" t="s">
        <v>53</v>
      </c>
      <c r="AV5" s="19" t="s">
        <v>43</v>
      </c>
      <c r="AW5" s="19" t="s">
        <v>41</v>
      </c>
      <c r="AX5" s="19" t="s">
        <v>53</v>
      </c>
      <c r="AY5" s="19" t="s">
        <v>43</v>
      </c>
      <c r="AZ5" s="19" t="s">
        <v>41</v>
      </c>
      <c r="BA5" s="19" t="s">
        <v>53</v>
      </c>
      <c r="BB5" s="19" t="s">
        <v>43</v>
      </c>
      <c r="BC5" s="19" t="s">
        <v>41</v>
      </c>
      <c r="BD5" s="19" t="s">
        <v>53</v>
      </c>
      <c r="BE5" s="19" t="s">
        <v>43</v>
      </c>
      <c r="BF5" s="19" t="s">
        <v>41</v>
      </c>
      <c r="BG5" s="19" t="s">
        <v>53</v>
      </c>
      <c r="BH5" s="19" t="s">
        <v>43</v>
      </c>
      <c r="BI5" s="19" t="s">
        <v>41</v>
      </c>
      <c r="BJ5" s="19" t="s">
        <v>53</v>
      </c>
      <c r="BK5" s="19" t="s">
        <v>43</v>
      </c>
      <c r="BL5" s="19" t="s">
        <v>41</v>
      </c>
      <c r="BM5" s="19" t="s">
        <v>53</v>
      </c>
      <c r="BN5" s="19" t="s">
        <v>43</v>
      </c>
      <c r="BO5" s="19" t="s">
        <v>41</v>
      </c>
      <c r="BP5" s="19" t="s">
        <v>53</v>
      </c>
      <c r="BQ5" s="19" t="s">
        <v>43</v>
      </c>
      <c r="BR5" s="19" t="s">
        <v>41</v>
      </c>
      <c r="BS5" s="19" t="s">
        <v>53</v>
      </c>
      <c r="BT5" s="19" t="s">
        <v>43</v>
      </c>
      <c r="BU5" s="19" t="s">
        <v>41</v>
      </c>
      <c r="BV5" s="19" t="s">
        <v>53</v>
      </c>
      <c r="BW5" s="19" t="s">
        <v>43</v>
      </c>
      <c r="BX5" s="19" t="s">
        <v>41</v>
      </c>
      <c r="BY5" s="19" t="s">
        <v>53</v>
      </c>
      <c r="BZ5" s="19" t="s">
        <v>43</v>
      </c>
      <c r="CA5" s="19" t="s">
        <v>41</v>
      </c>
      <c r="CB5" s="19" t="s">
        <v>53</v>
      </c>
      <c r="CC5" s="20" t="s">
        <v>43</v>
      </c>
      <c r="CD5" s="20" t="s">
        <v>41</v>
      </c>
      <c r="CE5" s="19" t="s">
        <v>53</v>
      </c>
      <c r="CF5" s="20" t="s">
        <v>43</v>
      </c>
      <c r="CG5" s="20" t="s">
        <v>41</v>
      </c>
      <c r="CH5" s="19" t="s">
        <v>53</v>
      </c>
      <c r="CI5" s="20" t="s">
        <v>43</v>
      </c>
      <c r="CJ5" s="20" t="s">
        <v>41</v>
      </c>
      <c r="CK5" s="19" t="s">
        <v>53</v>
      </c>
      <c r="CL5" s="20" t="s">
        <v>43</v>
      </c>
      <c r="CM5" s="20" t="s">
        <v>41</v>
      </c>
      <c r="CN5" s="19" t="s">
        <v>53</v>
      </c>
      <c r="CO5" s="20" t="s">
        <v>43</v>
      </c>
      <c r="CP5" s="20" t="s">
        <v>41</v>
      </c>
      <c r="CQ5" s="19" t="s">
        <v>53</v>
      </c>
      <c r="CR5" s="20" t="s">
        <v>43</v>
      </c>
      <c r="CS5" s="20" t="s">
        <v>41</v>
      </c>
      <c r="CT5" s="19" t="s">
        <v>53</v>
      </c>
      <c r="CU5" s="20" t="s">
        <v>43</v>
      </c>
      <c r="CV5" s="20" t="s">
        <v>41</v>
      </c>
      <c r="CW5" s="19" t="s">
        <v>53</v>
      </c>
      <c r="CX5" s="20" t="s">
        <v>43</v>
      </c>
      <c r="CY5" s="20" t="s">
        <v>41</v>
      </c>
      <c r="CZ5" s="19" t="s">
        <v>53</v>
      </c>
      <c r="DA5" s="20" t="s">
        <v>43</v>
      </c>
      <c r="DB5" s="20" t="s">
        <v>41</v>
      </c>
      <c r="DC5" s="19" t="s">
        <v>53</v>
      </c>
      <c r="DD5" s="20" t="s">
        <v>43</v>
      </c>
      <c r="DE5" s="20" t="s">
        <v>41</v>
      </c>
      <c r="DF5" s="19" t="s">
        <v>53</v>
      </c>
      <c r="DG5" s="20" t="s">
        <v>43</v>
      </c>
      <c r="DH5" s="20" t="s">
        <v>41</v>
      </c>
      <c r="DI5" s="19" t="s">
        <v>53</v>
      </c>
      <c r="DJ5" s="20" t="s">
        <v>43</v>
      </c>
      <c r="DK5" s="20" t="s">
        <v>41</v>
      </c>
      <c r="DL5" s="19" t="s">
        <v>53</v>
      </c>
      <c r="DM5" s="20" t="s">
        <v>43</v>
      </c>
      <c r="DN5" s="20" t="s">
        <v>41</v>
      </c>
      <c r="DO5" s="19" t="s">
        <v>53</v>
      </c>
      <c r="DP5" s="20" t="s">
        <v>43</v>
      </c>
      <c r="DQ5" s="20" t="s">
        <v>41</v>
      </c>
      <c r="DR5" s="19" t="s">
        <v>53</v>
      </c>
      <c r="DS5" s="20" t="s">
        <v>43</v>
      </c>
      <c r="DT5" s="20" t="s">
        <v>41</v>
      </c>
      <c r="DU5" s="19" t="s">
        <v>53</v>
      </c>
      <c r="DV5" s="20" t="s">
        <v>43</v>
      </c>
      <c r="DW5" s="20" t="s">
        <v>41</v>
      </c>
      <c r="DX5" s="19" t="s">
        <v>53</v>
      </c>
      <c r="DY5" s="20" t="s">
        <v>43</v>
      </c>
      <c r="DZ5" s="20" t="s">
        <v>41</v>
      </c>
      <c r="EA5" s="19" t="s">
        <v>53</v>
      </c>
      <c r="EB5" s="20" t="s">
        <v>43</v>
      </c>
      <c r="EC5" s="20" t="s">
        <v>41</v>
      </c>
      <c r="ED5" s="19" t="s">
        <v>53</v>
      </c>
      <c r="EE5" s="19" t="s">
        <v>43</v>
      </c>
      <c r="EF5" s="19" t="s">
        <v>41</v>
      </c>
      <c r="EG5" s="19" t="s">
        <v>53</v>
      </c>
      <c r="EH5" s="19" t="s">
        <v>43</v>
      </c>
      <c r="EI5" s="19" t="s">
        <v>41</v>
      </c>
      <c r="EJ5" s="19" t="s">
        <v>53</v>
      </c>
      <c r="EK5" s="19" t="s">
        <v>43</v>
      </c>
      <c r="EL5" s="19" t="s">
        <v>41</v>
      </c>
      <c r="EM5" s="19" t="s">
        <v>53</v>
      </c>
      <c r="EN5" s="19" t="s">
        <v>43</v>
      </c>
      <c r="EO5" s="19" t="s">
        <v>41</v>
      </c>
      <c r="EP5" s="19" t="s">
        <v>53</v>
      </c>
      <c r="EQ5" s="19" t="s">
        <v>43</v>
      </c>
      <c r="ER5" s="19" t="s">
        <v>41</v>
      </c>
      <c r="ES5" s="19" t="s">
        <v>53</v>
      </c>
      <c r="ET5" s="19" t="s">
        <v>43</v>
      </c>
      <c r="EU5" s="19" t="s">
        <v>41</v>
      </c>
      <c r="EV5" s="19" t="s">
        <v>53</v>
      </c>
      <c r="EW5" s="19" t="s">
        <v>43</v>
      </c>
      <c r="EX5" s="19" t="s">
        <v>41</v>
      </c>
      <c r="EY5" s="19" t="s">
        <v>53</v>
      </c>
      <c r="EZ5" s="19" t="s">
        <v>43</v>
      </c>
      <c r="FA5" s="19" t="s">
        <v>41</v>
      </c>
      <c r="FB5" s="19" t="s">
        <v>53</v>
      </c>
      <c r="FC5" s="19" t="s">
        <v>43</v>
      </c>
      <c r="FD5" s="19" t="s">
        <v>41</v>
      </c>
      <c r="FE5" s="19" t="s">
        <v>53</v>
      </c>
      <c r="FF5" s="19" t="s">
        <v>43</v>
      </c>
      <c r="FG5" s="19" t="s">
        <v>41</v>
      </c>
      <c r="FH5" s="19" t="s">
        <v>53</v>
      </c>
      <c r="FI5" s="19" t="s">
        <v>43</v>
      </c>
      <c r="FJ5" s="19" t="s">
        <v>41</v>
      </c>
      <c r="FK5" s="19" t="s">
        <v>53</v>
      </c>
      <c r="FL5" s="19" t="s">
        <v>43</v>
      </c>
      <c r="FM5" s="19" t="s">
        <v>41</v>
      </c>
      <c r="FN5" s="19" t="s">
        <v>53</v>
      </c>
      <c r="FO5" s="19" t="s">
        <v>43</v>
      </c>
      <c r="FP5" s="19" t="s">
        <v>41</v>
      </c>
      <c r="FQ5" s="19" t="s">
        <v>53</v>
      </c>
      <c r="FR5" s="19" t="s">
        <v>43</v>
      </c>
      <c r="FS5" s="19" t="s">
        <v>41</v>
      </c>
      <c r="FT5" s="19" t="s">
        <v>53</v>
      </c>
      <c r="FU5" s="19" t="s">
        <v>43</v>
      </c>
      <c r="FV5" s="19" t="s">
        <v>41</v>
      </c>
      <c r="FW5" s="19" t="s">
        <v>53</v>
      </c>
      <c r="FX5" s="19" t="s">
        <v>43</v>
      </c>
      <c r="FY5" s="19" t="s">
        <v>41</v>
      </c>
      <c r="FZ5" s="19" t="s">
        <v>53</v>
      </c>
      <c r="GA5" s="19" t="s">
        <v>43</v>
      </c>
      <c r="GB5" s="19" t="s">
        <v>41</v>
      </c>
      <c r="GC5" s="19" t="s">
        <v>53</v>
      </c>
      <c r="GD5" s="19" t="s">
        <v>43</v>
      </c>
      <c r="GE5" s="19" t="s">
        <v>41</v>
      </c>
      <c r="GF5" s="19" t="s">
        <v>53</v>
      </c>
      <c r="GG5" s="19" t="s">
        <v>43</v>
      </c>
      <c r="GH5" s="19" t="s">
        <v>41</v>
      </c>
      <c r="GI5" s="19" t="s">
        <v>53</v>
      </c>
      <c r="GJ5" s="19" t="s">
        <v>43</v>
      </c>
      <c r="GK5" s="19" t="s">
        <v>41</v>
      </c>
      <c r="GL5" s="19" t="s">
        <v>53</v>
      </c>
      <c r="GM5" s="19" t="s">
        <v>43</v>
      </c>
      <c r="GN5" s="19" t="s">
        <v>41</v>
      </c>
      <c r="GO5" s="19" t="s">
        <v>53</v>
      </c>
      <c r="GP5" s="19" t="s">
        <v>43</v>
      </c>
      <c r="GQ5" s="19" t="s">
        <v>41</v>
      </c>
      <c r="GR5" s="19" t="s">
        <v>53</v>
      </c>
      <c r="GS5" s="19" t="s">
        <v>43</v>
      </c>
      <c r="GT5" s="19" t="s">
        <v>41</v>
      </c>
      <c r="GU5" s="19" t="s">
        <v>53</v>
      </c>
      <c r="GV5" s="19" t="s">
        <v>43</v>
      </c>
      <c r="GW5" s="19" t="s">
        <v>41</v>
      </c>
      <c r="GX5" s="19" t="s">
        <v>53</v>
      </c>
      <c r="GY5" s="19" t="s">
        <v>43</v>
      </c>
      <c r="GZ5" s="19" t="s">
        <v>41</v>
      </c>
      <c r="HA5" s="19" t="s">
        <v>53</v>
      </c>
      <c r="HB5" s="19" t="s">
        <v>43</v>
      </c>
      <c r="HC5" s="19" t="s">
        <v>41</v>
      </c>
      <c r="HD5" s="19" t="s">
        <v>53</v>
      </c>
      <c r="HE5" s="19" t="s">
        <v>43</v>
      </c>
      <c r="HF5" s="19" t="s">
        <v>41</v>
      </c>
      <c r="HG5" s="20" t="s">
        <v>53</v>
      </c>
      <c r="HH5" s="21" t="s">
        <v>43</v>
      </c>
      <c r="HI5" s="21" t="s">
        <v>41</v>
      </c>
      <c r="HJ5" s="21" t="s">
        <v>53</v>
      </c>
      <c r="HK5" s="21" t="s">
        <v>43</v>
      </c>
      <c r="HL5" s="21" t="s">
        <v>41</v>
      </c>
      <c r="HM5" s="20" t="s">
        <v>53</v>
      </c>
      <c r="HN5" s="21" t="s">
        <v>43</v>
      </c>
      <c r="HO5" s="21" t="s">
        <v>41</v>
      </c>
      <c r="HP5" s="20" t="s">
        <v>53</v>
      </c>
      <c r="HQ5" s="21" t="s">
        <v>43</v>
      </c>
      <c r="HR5" s="21" t="s">
        <v>41</v>
      </c>
      <c r="HS5" s="21" t="s">
        <v>53</v>
      </c>
      <c r="HT5" s="21" t="s">
        <v>43</v>
      </c>
      <c r="HU5" s="21" t="s">
        <v>41</v>
      </c>
      <c r="HV5" s="19" t="s">
        <v>53</v>
      </c>
      <c r="HW5" s="22" t="s">
        <v>43</v>
      </c>
      <c r="HX5" s="22" t="s">
        <v>41</v>
      </c>
      <c r="HY5" s="19" t="s">
        <v>53</v>
      </c>
      <c r="HZ5" s="22" t="s">
        <v>43</v>
      </c>
      <c r="IA5" s="22" t="s">
        <v>41</v>
      </c>
      <c r="IB5" s="22" t="s">
        <v>53</v>
      </c>
      <c r="IC5" s="22" t="s">
        <v>43</v>
      </c>
      <c r="ID5" s="22" t="s">
        <v>41</v>
      </c>
      <c r="IE5" s="19" t="s">
        <v>53</v>
      </c>
      <c r="IF5" s="22" t="s">
        <v>43</v>
      </c>
      <c r="IG5" s="22" t="s">
        <v>41</v>
      </c>
      <c r="IH5" s="22" t="s">
        <v>53</v>
      </c>
      <c r="II5" s="22" t="s">
        <v>43</v>
      </c>
      <c r="IJ5" s="22" t="s">
        <v>41</v>
      </c>
      <c r="IK5" s="22" t="s">
        <v>53</v>
      </c>
      <c r="IL5" s="22" t="s">
        <v>43</v>
      </c>
      <c r="IM5" s="22" t="s">
        <v>41</v>
      </c>
      <c r="IN5" s="22" t="s">
        <v>53</v>
      </c>
      <c r="IO5" s="22" t="s">
        <v>43</v>
      </c>
      <c r="IP5" s="22" t="s">
        <v>41</v>
      </c>
      <c r="IQ5" s="22" t="s">
        <v>53</v>
      </c>
      <c r="IR5" s="22" t="s">
        <v>43</v>
      </c>
      <c r="IS5" s="22" t="s">
        <v>41</v>
      </c>
      <c r="IT5" s="7" t="s">
        <v>53</v>
      </c>
      <c r="IU5" s="8" t="s">
        <v>43</v>
      </c>
      <c r="IV5" s="8" t="s">
        <v>41</v>
      </c>
    </row>
    <row r="6" spans="1:260" s="4" customFormat="1" ht="18.75" customHeight="1" x14ac:dyDescent="0.2">
      <c r="A6" s="9" t="s">
        <v>50</v>
      </c>
      <c r="B6" s="23">
        <f>E6+H6+K6</f>
        <v>3873442</v>
      </c>
      <c r="C6" s="23">
        <f>F6+I6+L6</f>
        <v>1366774.6599999997</v>
      </c>
      <c r="D6" s="24">
        <f>(C6/B6)*100</f>
        <v>35.285791293634958</v>
      </c>
      <c r="E6" s="23">
        <f t="shared" ref="E6:CI6" si="0">SUM(E7:E37)</f>
        <v>3873442</v>
      </c>
      <c r="F6" s="23">
        <f>SUM(F7:F37)</f>
        <v>1366774.6599999997</v>
      </c>
      <c r="G6" s="24">
        <f>(F6/E6)*100</f>
        <v>35.285791293634958</v>
      </c>
      <c r="H6" s="23">
        <f t="shared" si="0"/>
        <v>0</v>
      </c>
      <c r="I6" s="23">
        <f t="shared" si="0"/>
        <v>0</v>
      </c>
      <c r="J6" s="24" t="s">
        <v>56</v>
      </c>
      <c r="K6" s="23">
        <v>0</v>
      </c>
      <c r="L6" s="23">
        <v>0</v>
      </c>
      <c r="M6" s="23" t="s">
        <v>56</v>
      </c>
      <c r="N6" s="23">
        <f>Q6+T6+W6+Z6+AC6+AF6+AI6+AL6+AO6+AR6+AU6+AX6+BA6+BD6+BG6+BJ6+BM6+BP6+BS6+BV6+BY6+CB6+CE6+CH6+CK6+CN6+CQ6+CT6+CW6+CZ6+DC6+DF6+DI6+DL6+DO6+DR6+DU6+DX6+EA6</f>
        <v>3100060.1969499998</v>
      </c>
      <c r="O6" s="23">
        <f>R6+U6+X6+AA6+AD6+AG6+AJ6+AM6+AP6+AS6+AV6+AY6+BB6+BE6+BH6+BK6+BN6+BQ6+BT6+BW6+BZ6+CC6+CF6+CI6+CL6+CO6+CR6+CU6+CX6+DA6+DD6+DG6+DJ6+DM6+DP6+DS6+DV6+DY6+EB6</f>
        <v>2760.5</v>
      </c>
      <c r="P6" s="24">
        <f>(O6/N6)*100</f>
        <v>8.9046657955736574E-2</v>
      </c>
      <c r="Q6" s="23">
        <f t="shared" si="0"/>
        <v>602889.56499999994</v>
      </c>
      <c r="R6" s="23">
        <f t="shared" si="0"/>
        <v>0</v>
      </c>
      <c r="S6" s="24">
        <f>R6/Q6%</f>
        <v>0</v>
      </c>
      <c r="T6" s="23">
        <f t="shared" si="0"/>
        <v>3266</v>
      </c>
      <c r="U6" s="23">
        <f t="shared" si="0"/>
        <v>0</v>
      </c>
      <c r="V6" s="24">
        <f t="shared" ref="V6" si="1">U6/T6%</f>
        <v>0</v>
      </c>
      <c r="W6" s="23">
        <f t="shared" ref="W6:X6" si="2">SUM(W7:W37)</f>
        <v>131357.70950999999</v>
      </c>
      <c r="X6" s="23">
        <f t="shared" si="2"/>
        <v>0</v>
      </c>
      <c r="Y6" s="24">
        <f t="shared" ref="Y6:Y10" si="3">X6/W6%</f>
        <v>0</v>
      </c>
      <c r="Z6" s="23">
        <f t="shared" ref="Z6:AA6" si="4">SUM(Z7:Z37)</f>
        <v>5101.0714200000002</v>
      </c>
      <c r="AA6" s="23">
        <f t="shared" si="4"/>
        <v>0</v>
      </c>
      <c r="AB6" s="24">
        <f t="shared" ref="AB6:AB14" si="5">AA6/Z6%</f>
        <v>0</v>
      </c>
      <c r="AC6" s="23">
        <f t="shared" ref="AC6:AD6" si="6">SUM(AC7:AC37)</f>
        <v>76077.600000000006</v>
      </c>
      <c r="AD6" s="23">
        <f t="shared" si="6"/>
        <v>0</v>
      </c>
      <c r="AE6" s="24">
        <f>AD6/AC6%</f>
        <v>0</v>
      </c>
      <c r="AF6" s="23">
        <f t="shared" ref="AF6:AG6" si="7">SUM(AF7:AF37)</f>
        <v>28596.1</v>
      </c>
      <c r="AG6" s="23">
        <f t="shared" si="7"/>
        <v>0</v>
      </c>
      <c r="AH6" s="24">
        <f t="shared" ref="AH6:AH15" si="8">AG6/AF6%</f>
        <v>0</v>
      </c>
      <c r="AI6" s="23">
        <f t="shared" si="0"/>
        <v>0</v>
      </c>
      <c r="AJ6" s="23">
        <f t="shared" si="0"/>
        <v>0</v>
      </c>
      <c r="AK6" s="24" t="s">
        <v>56</v>
      </c>
      <c r="AL6" s="23">
        <f t="shared" si="0"/>
        <v>94622</v>
      </c>
      <c r="AM6" s="23">
        <f t="shared" si="0"/>
        <v>0</v>
      </c>
      <c r="AN6" s="24">
        <f t="shared" ref="AN6" si="9">AM6/AL6%</f>
        <v>0</v>
      </c>
      <c r="AO6" s="23">
        <v>0</v>
      </c>
      <c r="AP6" s="23">
        <v>0</v>
      </c>
      <c r="AQ6" s="23" t="s">
        <v>56</v>
      </c>
      <c r="AR6" s="23">
        <f>SUM(AR7:AR37)</f>
        <v>374.24</v>
      </c>
      <c r="AS6" s="23">
        <v>0</v>
      </c>
      <c r="AT6" s="23">
        <v>0</v>
      </c>
      <c r="AU6" s="23">
        <f t="shared" si="0"/>
        <v>31581.595750000011</v>
      </c>
      <c r="AV6" s="23">
        <f t="shared" si="0"/>
        <v>0</v>
      </c>
      <c r="AW6" s="24">
        <f>AV6/AU6%</f>
        <v>0</v>
      </c>
      <c r="AX6" s="23">
        <f t="shared" si="0"/>
        <v>0</v>
      </c>
      <c r="AY6" s="23">
        <f t="shared" si="0"/>
        <v>0</v>
      </c>
      <c r="AZ6" s="24" t="s">
        <v>56</v>
      </c>
      <c r="BA6" s="23">
        <f t="shared" si="0"/>
        <v>0</v>
      </c>
      <c r="BB6" s="23">
        <f t="shared" si="0"/>
        <v>0</v>
      </c>
      <c r="BC6" s="24" t="s">
        <v>56</v>
      </c>
      <c r="BD6" s="23">
        <f t="shared" si="0"/>
        <v>2113.7387600000006</v>
      </c>
      <c r="BE6" s="23">
        <f t="shared" si="0"/>
        <v>0</v>
      </c>
      <c r="BF6" s="24">
        <f t="shared" ref="BF6" si="10">BE6/BD6%</f>
        <v>0</v>
      </c>
      <c r="BG6" s="23">
        <f t="shared" ref="BG6:BH6" si="11">SUM(BG7:BG37)</f>
        <v>2050</v>
      </c>
      <c r="BH6" s="23">
        <f t="shared" si="11"/>
        <v>0</v>
      </c>
      <c r="BI6" s="24">
        <v>0</v>
      </c>
      <c r="BJ6" s="23">
        <f t="shared" si="0"/>
        <v>0</v>
      </c>
      <c r="BK6" s="23">
        <f t="shared" si="0"/>
        <v>0</v>
      </c>
      <c r="BL6" s="24" t="s">
        <v>56</v>
      </c>
      <c r="BM6" s="23">
        <f t="shared" si="0"/>
        <v>1476.7021300000001</v>
      </c>
      <c r="BN6" s="23">
        <f t="shared" si="0"/>
        <v>0</v>
      </c>
      <c r="BO6" s="24">
        <f>BN6/BM6%</f>
        <v>0</v>
      </c>
      <c r="BP6" s="23">
        <f t="shared" si="0"/>
        <v>0</v>
      </c>
      <c r="BQ6" s="23">
        <f t="shared" si="0"/>
        <v>0</v>
      </c>
      <c r="BR6" s="24" t="s">
        <v>56</v>
      </c>
      <c r="BS6" s="23">
        <f t="shared" si="0"/>
        <v>195607.23</v>
      </c>
      <c r="BT6" s="23">
        <f t="shared" si="0"/>
        <v>0</v>
      </c>
      <c r="BU6" s="24">
        <f t="shared" ref="BU6" si="12">BT6/BS6%</f>
        <v>0</v>
      </c>
      <c r="BV6" s="23">
        <f t="shared" si="0"/>
        <v>0</v>
      </c>
      <c r="BW6" s="23">
        <f t="shared" si="0"/>
        <v>0</v>
      </c>
      <c r="BX6" s="24" t="s">
        <v>56</v>
      </c>
      <c r="BY6" s="25">
        <f>SUM(BY7:BY37)</f>
        <v>37197.199999999997</v>
      </c>
      <c r="BZ6" s="24">
        <f>SUM(BZ7:BZ37)</f>
        <v>2760.5</v>
      </c>
      <c r="CA6" s="25">
        <f>(BZ6/BY6)*100</f>
        <v>7.421257514006431</v>
      </c>
      <c r="CB6" s="23">
        <f t="shared" si="0"/>
        <v>0</v>
      </c>
      <c r="CC6" s="23">
        <f t="shared" si="0"/>
        <v>0</v>
      </c>
      <c r="CD6" s="26" t="s">
        <v>56</v>
      </c>
      <c r="CE6" s="23">
        <f t="shared" ref="CE6:CF6" si="13">SUM(CE7:CE37)</f>
        <v>0</v>
      </c>
      <c r="CF6" s="23">
        <f t="shared" si="13"/>
        <v>0</v>
      </c>
      <c r="CG6" s="26" t="s">
        <v>56</v>
      </c>
      <c r="CH6" s="23">
        <f t="shared" si="0"/>
        <v>54058.54</v>
      </c>
      <c r="CI6" s="23">
        <f t="shared" si="0"/>
        <v>0</v>
      </c>
      <c r="CJ6" s="26">
        <f>CI6/CH6%</f>
        <v>0</v>
      </c>
      <c r="CK6" s="23">
        <f t="shared" ref="CK6:EH6" si="14">SUM(CK7:CK37)</f>
        <v>0</v>
      </c>
      <c r="CL6" s="23">
        <f t="shared" si="14"/>
        <v>0</v>
      </c>
      <c r="CM6" s="26" t="s">
        <v>56</v>
      </c>
      <c r="CN6" s="23">
        <f t="shared" si="14"/>
        <v>129810.30386</v>
      </c>
      <c r="CO6" s="23">
        <f t="shared" si="14"/>
        <v>0</v>
      </c>
      <c r="CP6" s="26">
        <f t="shared" ref="CP6" si="15">CO6/CN6%</f>
        <v>0</v>
      </c>
      <c r="CQ6" s="23">
        <f t="shared" si="14"/>
        <v>3073.7101199999997</v>
      </c>
      <c r="CR6" s="23">
        <f t="shared" si="14"/>
        <v>0</v>
      </c>
      <c r="CS6" s="26">
        <v>0</v>
      </c>
      <c r="CT6" s="23">
        <f t="shared" si="14"/>
        <v>1554.4</v>
      </c>
      <c r="CU6" s="23">
        <f t="shared" si="14"/>
        <v>0</v>
      </c>
      <c r="CV6" s="26">
        <f t="shared" ref="CV6" si="16">CU6/CT6%</f>
        <v>0</v>
      </c>
      <c r="CW6" s="23">
        <f t="shared" si="14"/>
        <v>233469.20860000004</v>
      </c>
      <c r="CX6" s="23">
        <f t="shared" si="14"/>
        <v>0</v>
      </c>
      <c r="CY6" s="26">
        <v>0</v>
      </c>
      <c r="CZ6" s="23">
        <f t="shared" ref="CZ6:DA6" si="17">SUM(CZ7:CZ37)</f>
        <v>42750.199999999983</v>
      </c>
      <c r="DA6" s="23">
        <f t="shared" si="17"/>
        <v>0</v>
      </c>
      <c r="DB6" s="26">
        <f t="shared" ref="DB6" si="18">DA6/CZ6%</f>
        <v>0</v>
      </c>
      <c r="DC6" s="23">
        <f t="shared" ref="DC6:DD6" si="19">SUM(DC7:DC37)</f>
        <v>443318.16149999999</v>
      </c>
      <c r="DD6" s="23">
        <f t="shared" si="19"/>
        <v>0</v>
      </c>
      <c r="DE6" s="26">
        <f t="shared" ref="DE6" si="20">DD6/DC6%</f>
        <v>0</v>
      </c>
      <c r="DF6" s="23">
        <f t="shared" ref="DF6:DG6" si="21">SUM(DF7:DF37)</f>
        <v>0</v>
      </c>
      <c r="DG6" s="23">
        <f t="shared" si="21"/>
        <v>0</v>
      </c>
      <c r="DH6" s="26" t="s">
        <v>56</v>
      </c>
      <c r="DI6" s="23">
        <f t="shared" si="14"/>
        <v>413122.5</v>
      </c>
      <c r="DJ6" s="23">
        <f t="shared" si="14"/>
        <v>0</v>
      </c>
      <c r="DK6" s="26">
        <v>0</v>
      </c>
      <c r="DL6" s="23">
        <f>SUM(DL7:DL37)</f>
        <v>4100</v>
      </c>
      <c r="DM6" s="23">
        <f>SUM(DM7:DM37)</f>
        <v>0</v>
      </c>
      <c r="DN6" s="26">
        <f t="shared" ref="DN6" si="22">DM6/DL6%</f>
        <v>0</v>
      </c>
      <c r="DO6" s="23">
        <f t="shared" ref="DO6:DP6" si="23">SUM(DO7:DO37)</f>
        <v>57000</v>
      </c>
      <c r="DP6" s="23">
        <f t="shared" si="23"/>
        <v>0</v>
      </c>
      <c r="DQ6" s="26">
        <f t="shared" ref="DQ6" si="24">DP6/DO6%</f>
        <v>0</v>
      </c>
      <c r="DR6" s="23">
        <f>SUM(DR7:DR37)</f>
        <v>63477</v>
      </c>
      <c r="DS6" s="23">
        <f>SUM(DS7:DS37)</f>
        <v>0</v>
      </c>
      <c r="DT6" s="26">
        <f>DS6/DR6%</f>
        <v>0</v>
      </c>
      <c r="DU6" s="23">
        <f>SUM(DU7:DU37)</f>
        <v>0</v>
      </c>
      <c r="DV6" s="23">
        <f>SUM(DV7:DV37)</f>
        <v>0</v>
      </c>
      <c r="DW6" s="26" t="s">
        <v>56</v>
      </c>
      <c r="DX6" s="23">
        <f t="shared" si="14"/>
        <v>427999.4203</v>
      </c>
      <c r="DY6" s="23">
        <f t="shared" si="14"/>
        <v>0</v>
      </c>
      <c r="DZ6" s="26">
        <f>DY6/DX6%</f>
        <v>0</v>
      </c>
      <c r="EA6" s="23">
        <f t="shared" ref="EA6:EB6" si="25">SUM(EA7:EA37)</f>
        <v>14016</v>
      </c>
      <c r="EB6" s="23">
        <f t="shared" si="25"/>
        <v>0</v>
      </c>
      <c r="EC6" s="26">
        <f>EB6/EA6%</f>
        <v>0</v>
      </c>
      <c r="ED6" s="23">
        <f>EG6+EJ6+EM6+EP6+ES6+EV6+EY6+FB6+FE6+FH6+FK6+FN6+FQ6+FT6+FW6+FZ6+GC6+GF6+GI6+GL6+GO6+GR6+GU6+GX6+HA6+HD6</f>
        <v>9731852.5370000023</v>
      </c>
      <c r="EE6" s="23">
        <f>EH6+EK6+EN6+EQ6+ET6+EW6+EZ6+FC6+FF6+FI6+FL6+FO6+FR6+FU6+FX6+GA6+GD6+GG6+GJ6+GM6+GP6+GS6+GV6+GY6+HB6+HE6</f>
        <v>2531710.2592499997</v>
      </c>
      <c r="EF6" s="24">
        <f>(EE6/ED6)*100</f>
        <v>26.014679626767538</v>
      </c>
      <c r="EG6" s="23">
        <f>SUM(EG7:EG37)</f>
        <v>76681.400000000023</v>
      </c>
      <c r="EH6" s="23">
        <f t="shared" si="14"/>
        <v>17888.381530000002</v>
      </c>
      <c r="EI6" s="24">
        <f t="shared" ref="EI6:EI42" si="26">EH6/EG6%</f>
        <v>23.328188491602916</v>
      </c>
      <c r="EJ6" s="23">
        <f t="shared" ref="EJ6:GX6" si="27">SUM(EJ7:EJ37)</f>
        <v>1141.8000000000002</v>
      </c>
      <c r="EK6" s="23">
        <f t="shared" si="27"/>
        <v>0</v>
      </c>
      <c r="EL6" s="24">
        <f t="shared" ref="EL6:EL11" si="28">EK6/EJ6%</f>
        <v>0</v>
      </c>
      <c r="EM6" s="23">
        <f t="shared" si="27"/>
        <v>20.292000000000002</v>
      </c>
      <c r="EN6" s="23">
        <f t="shared" si="27"/>
        <v>0</v>
      </c>
      <c r="EO6" s="24">
        <f t="shared" ref="EO6:EO37" si="29">EN6/EM6%</f>
        <v>0</v>
      </c>
      <c r="EP6" s="23">
        <f t="shared" si="27"/>
        <v>2802962.7000000007</v>
      </c>
      <c r="EQ6" s="23">
        <f t="shared" si="27"/>
        <v>636820.66200000001</v>
      </c>
      <c r="ER6" s="24">
        <f>EQ6/EP6%</f>
        <v>22.719555347632696</v>
      </c>
      <c r="ES6" s="27">
        <f>SUM(ES7:ES37)</f>
        <v>5743318.5000000009</v>
      </c>
      <c r="ET6" s="27">
        <f>SUM(ET7:ET37)</f>
        <v>1650100.8</v>
      </c>
      <c r="EU6" s="27">
        <f>(ET6/ES6)*100</f>
        <v>28.730790395831256</v>
      </c>
      <c r="EV6" s="23">
        <f t="shared" si="27"/>
        <v>267388.39999999997</v>
      </c>
      <c r="EW6" s="28">
        <f t="shared" si="27"/>
        <v>67514.2</v>
      </c>
      <c r="EX6" s="26">
        <f>EW6/EV6%</f>
        <v>25.249487262723441</v>
      </c>
      <c r="EY6" s="23">
        <f t="shared" si="27"/>
        <v>102430.80000000003</v>
      </c>
      <c r="EZ6" s="23">
        <f t="shared" si="27"/>
        <v>0</v>
      </c>
      <c r="FA6" s="24">
        <f t="shared" ref="FA6:FA36" si="30">EZ6/EY6%</f>
        <v>0</v>
      </c>
      <c r="FB6" s="23">
        <f t="shared" si="27"/>
        <v>6533.4000000000005</v>
      </c>
      <c r="FC6" s="23">
        <f t="shared" si="27"/>
        <v>0</v>
      </c>
      <c r="FD6" s="24">
        <f>FC6/FB6%</f>
        <v>0</v>
      </c>
      <c r="FE6" s="23">
        <f t="shared" si="27"/>
        <v>485.7</v>
      </c>
      <c r="FF6" s="23">
        <f t="shared" si="27"/>
        <v>74.917609999999996</v>
      </c>
      <c r="FG6" s="24">
        <f>FF6/FE6%</f>
        <v>15.424667490220299</v>
      </c>
      <c r="FH6" s="23">
        <f t="shared" si="27"/>
        <v>45098.864999999998</v>
      </c>
      <c r="FI6" s="23">
        <f t="shared" si="27"/>
        <v>10128.713759999999</v>
      </c>
      <c r="FJ6" s="24">
        <f t="shared" ref="FJ6:FJ37" si="31">FI6/FH6%</f>
        <v>22.458910573470082</v>
      </c>
      <c r="FK6" s="23">
        <f t="shared" ref="FK6:FL6" si="32">SUM(FK7:FK37)</f>
        <v>6562.5</v>
      </c>
      <c r="FL6" s="23">
        <f t="shared" si="32"/>
        <v>1640.4000000000003</v>
      </c>
      <c r="FM6" s="24">
        <f t="shared" ref="FM6:FM37" si="33">FL6/FK6%</f>
        <v>24.996571428571432</v>
      </c>
      <c r="FN6" s="23">
        <f t="shared" si="27"/>
        <v>144.39999999999998</v>
      </c>
      <c r="FO6" s="23">
        <f t="shared" si="27"/>
        <v>0</v>
      </c>
      <c r="FP6" s="24">
        <f t="shared" ref="FP6:FP37" si="34">FO6/FN6%</f>
        <v>0</v>
      </c>
      <c r="FQ6" s="23">
        <f t="shared" si="27"/>
        <v>2959.6</v>
      </c>
      <c r="FR6" s="23">
        <f t="shared" si="27"/>
        <v>696.8</v>
      </c>
      <c r="FS6" s="24">
        <f>FR6/FQ6%</f>
        <v>23.543722124611431</v>
      </c>
      <c r="FT6" s="23">
        <f t="shared" ref="FT6:FU6" si="35">SUM(FT7:FT37)</f>
        <v>22</v>
      </c>
      <c r="FU6" s="23">
        <f t="shared" si="35"/>
        <v>0</v>
      </c>
      <c r="FV6" s="24">
        <f>FU6/FT6%</f>
        <v>0</v>
      </c>
      <c r="FW6" s="23">
        <f t="shared" si="27"/>
        <v>19144.799999999996</v>
      </c>
      <c r="FX6" s="23">
        <f t="shared" si="27"/>
        <v>3941.1010000000001</v>
      </c>
      <c r="FY6" s="24">
        <f t="shared" ref="FY6:FY37" si="36">FX6/FW6%</f>
        <v>20.585751744599062</v>
      </c>
      <c r="FZ6" s="23">
        <f t="shared" si="27"/>
        <v>9586.2999999999993</v>
      </c>
      <c r="GA6" s="23">
        <f t="shared" si="27"/>
        <v>2363.48918</v>
      </c>
      <c r="GB6" s="24">
        <f t="shared" ref="GB6:GB37" si="37">GA6/FZ6%</f>
        <v>24.65486350312425</v>
      </c>
      <c r="GC6" s="23">
        <f>1049.9</f>
        <v>1049.9000000000001</v>
      </c>
      <c r="GD6" s="23">
        <f t="shared" si="27"/>
        <v>262.44899999999996</v>
      </c>
      <c r="GE6" s="24">
        <f>(GD6/GC6)*100</f>
        <v>24.997523573673678</v>
      </c>
      <c r="GF6" s="23">
        <f t="shared" si="27"/>
        <v>18.48</v>
      </c>
      <c r="GG6" s="23">
        <f t="shared" si="27"/>
        <v>0</v>
      </c>
      <c r="GH6" s="24">
        <f t="shared" ref="GH6" si="38">GG6/GF6%</f>
        <v>0</v>
      </c>
      <c r="GI6" s="23">
        <f>SUM(GI7:GI37)</f>
        <v>58308.600000000006</v>
      </c>
      <c r="GJ6" s="23">
        <f t="shared" ref="GJ6" si="39">SUM(GJ7:GJ37)</f>
        <v>11943.576910000002</v>
      </c>
      <c r="GK6" s="24">
        <f t="shared" ref="GK6:GK38" si="40">GJ6/GI6%</f>
        <v>20.483388230895617</v>
      </c>
      <c r="GL6" s="23">
        <f t="shared" ref="GL6:GM6" si="41">SUM(GL7:GL37)</f>
        <v>0</v>
      </c>
      <c r="GM6" s="23">
        <f t="shared" si="41"/>
        <v>0</v>
      </c>
      <c r="GN6" s="24" t="s">
        <v>56</v>
      </c>
      <c r="GO6" s="23">
        <f t="shared" si="27"/>
        <v>4359.6999999999989</v>
      </c>
      <c r="GP6" s="23">
        <f t="shared" si="27"/>
        <v>1079.954</v>
      </c>
      <c r="GQ6" s="24">
        <f t="shared" ref="GQ6:GQ11" si="42">GP6/GO6%</f>
        <v>24.771291602633216</v>
      </c>
      <c r="GR6" s="23">
        <f t="shared" si="27"/>
        <v>38005.599999999991</v>
      </c>
      <c r="GS6" s="23">
        <f t="shared" si="27"/>
        <v>6400.8999999999987</v>
      </c>
      <c r="GT6" s="24">
        <f>GS6/GR6%</f>
        <v>16.841991706485359</v>
      </c>
      <c r="GU6" s="23">
        <f t="shared" si="27"/>
        <v>27805.5</v>
      </c>
      <c r="GV6" s="23">
        <f t="shared" si="27"/>
        <v>0</v>
      </c>
      <c r="GW6" s="24">
        <f t="shared" ref="GW6:GW34" si="43">GV6/GU6%</f>
        <v>0</v>
      </c>
      <c r="GX6" s="23">
        <f t="shared" si="27"/>
        <v>10059.600000000002</v>
      </c>
      <c r="GY6" s="23">
        <f t="shared" ref="GY6:IU6" si="44">SUM(GY7:GY37)</f>
        <v>0</v>
      </c>
      <c r="GZ6" s="24">
        <f t="shared" ref="GZ6" si="45">GY6/GX6%</f>
        <v>0</v>
      </c>
      <c r="HA6" s="27">
        <f>SUM(HA7:HA37)</f>
        <v>408444.7</v>
      </c>
      <c r="HB6" s="27">
        <f>SUM(HB7:HB37)</f>
        <v>97828.91425999999</v>
      </c>
      <c r="HC6" s="27">
        <f>(HB6/HA6)*100</f>
        <v>23.951569027581943</v>
      </c>
      <c r="HD6" s="23">
        <f t="shared" si="44"/>
        <v>99319</v>
      </c>
      <c r="HE6" s="23">
        <f t="shared" si="44"/>
        <v>23024.999999999996</v>
      </c>
      <c r="HF6" s="24">
        <f>(HE6/HD6)*100</f>
        <v>23.182875381346967</v>
      </c>
      <c r="HG6" s="28">
        <f>HJ6+HM6+HP6+HS6+HV6+HY6+IB6+IE6+IH6+IK6+IN6+IQ6</f>
        <v>581798.64012999996</v>
      </c>
      <c r="HH6" s="28">
        <f>HK6+HN6+HQ6+HT6+HW6+HZ6+IC6+IF6+II6+IL6+IO6+IR6</f>
        <v>0</v>
      </c>
      <c r="HI6" s="26">
        <f t="shared" ref="HI6:HI42" si="46">HH6/HG6*100</f>
        <v>0</v>
      </c>
      <c r="HJ6" s="29">
        <v>0</v>
      </c>
      <c r="HK6" s="29">
        <v>0</v>
      </c>
      <c r="HL6" s="29" t="s">
        <v>56</v>
      </c>
      <c r="HM6" s="29">
        <f>SUM(HM7:HM37)</f>
        <v>450</v>
      </c>
      <c r="HN6" s="29">
        <v>0</v>
      </c>
      <c r="HO6" s="29">
        <v>0</v>
      </c>
      <c r="HP6" s="29">
        <f>SUM(HP7:HP37)</f>
        <v>219523.69999999992</v>
      </c>
      <c r="HQ6" s="29">
        <v>0</v>
      </c>
      <c r="HR6" s="29">
        <v>0</v>
      </c>
      <c r="HS6" s="29">
        <v>0</v>
      </c>
      <c r="HT6" s="29">
        <v>0</v>
      </c>
      <c r="HU6" s="29" t="s">
        <v>56</v>
      </c>
      <c r="HV6" s="23">
        <f t="shared" si="44"/>
        <v>50490</v>
      </c>
      <c r="HW6" s="23">
        <f t="shared" si="44"/>
        <v>0</v>
      </c>
      <c r="HX6" s="24">
        <v>0</v>
      </c>
      <c r="HY6" s="23">
        <f t="shared" si="44"/>
        <v>1489.0388799999998</v>
      </c>
      <c r="HZ6" s="23">
        <f t="shared" si="44"/>
        <v>0</v>
      </c>
      <c r="IA6" s="23">
        <f>HZ6/HY6*100</f>
        <v>0</v>
      </c>
      <c r="IB6" s="23">
        <v>0</v>
      </c>
      <c r="IC6" s="23">
        <v>0</v>
      </c>
      <c r="ID6" s="23" t="s">
        <v>56</v>
      </c>
      <c r="IE6" s="23">
        <f>SUM(IE7:IE37)</f>
        <v>510</v>
      </c>
      <c r="IF6" s="23">
        <v>0</v>
      </c>
      <c r="IG6" s="23">
        <v>0</v>
      </c>
      <c r="IH6" s="23">
        <f>SUM(IH7:IH37)</f>
        <v>15.040790000000001</v>
      </c>
      <c r="II6" s="23">
        <f>SUM(II7:II37)</f>
        <v>0</v>
      </c>
      <c r="IJ6" s="23">
        <v>0</v>
      </c>
      <c r="IK6" s="23">
        <f>SUM(IK7:IK37)</f>
        <v>1574.7820000000002</v>
      </c>
      <c r="IL6" s="23">
        <v>0</v>
      </c>
      <c r="IM6" s="23">
        <v>0</v>
      </c>
      <c r="IN6" s="23">
        <f>SUM(IN7:IN37)</f>
        <v>1020.4081600000001</v>
      </c>
      <c r="IO6" s="23">
        <v>0</v>
      </c>
      <c r="IP6" s="23">
        <v>0</v>
      </c>
      <c r="IQ6" s="23">
        <f>SUM(IQ7:IQ37)</f>
        <v>306725.6703</v>
      </c>
      <c r="IR6" s="23">
        <v>0</v>
      </c>
      <c r="IS6" s="23">
        <v>0</v>
      </c>
      <c r="IT6" s="11">
        <f>B6+N6+ED6+HG6</f>
        <v>17287153.374080002</v>
      </c>
      <c r="IU6" s="11">
        <f t="shared" si="44"/>
        <v>3901245.4192499989</v>
      </c>
      <c r="IV6" s="10">
        <f>(IU6/IT6)*100</f>
        <v>22.567309578565116</v>
      </c>
      <c r="IW6" s="1"/>
      <c r="IX6" s="1"/>
    </row>
    <row r="7" spans="1:260" ht="14.25" customHeight="1" x14ac:dyDescent="0.2">
      <c r="A7" s="13" t="s">
        <v>6</v>
      </c>
      <c r="B7" s="23">
        <f t="shared" ref="B7:B42" si="47">E7+H7+K7</f>
        <v>284019</v>
      </c>
      <c r="C7" s="23">
        <f t="shared" ref="C7:C42" si="48">F7+I7+L7</f>
        <v>113000</v>
      </c>
      <c r="D7" s="24">
        <f t="shared" ref="D7:D44" si="49">(C7/B7)*100</f>
        <v>39.78607065020298</v>
      </c>
      <c r="E7" s="30">
        <v>284019</v>
      </c>
      <c r="F7" s="31">
        <v>113000</v>
      </c>
      <c r="G7" s="31">
        <f t="shared" ref="G7:G44" si="50">(F7/E7)*100</f>
        <v>39.78607065020298</v>
      </c>
      <c r="H7" s="30">
        <v>0</v>
      </c>
      <c r="I7" s="30">
        <v>0</v>
      </c>
      <c r="J7" s="31" t="s">
        <v>56</v>
      </c>
      <c r="K7" s="31">
        <v>0</v>
      </c>
      <c r="L7" s="31">
        <v>0</v>
      </c>
      <c r="M7" s="31" t="s">
        <v>56</v>
      </c>
      <c r="N7" s="23">
        <f t="shared" ref="N7:N43" si="51">Q7+T7+W7+Z7+AC7+AF7+AI7+AL7+AO7+AR7+AU7+AX7+BA7+BD7+BG7+BJ7+BM7+BP7+BS7+BV7+BY7+CB7+CE7+CH7+CK7+CN7+CQ7+CT7+CW7+CZ7+DC7+DF7+DI7+DL7+DO7+DR7+DU7+DX7+EA7</f>
        <v>73341.881429999994</v>
      </c>
      <c r="O7" s="23">
        <f t="shared" ref="O7:O44" si="52">R7+U7+X7+AA7+AD7+AG7+AJ7+AM7+AP7+AS7+AV7+AY7+BB7+BE7+BH7+BK7+BN7+BQ7+BT7+BW7+BZ7+CC7+CF7+CI7+CL7+CO7+CR7+CU7+CX7+DA7+DD7+DG7+DJ7+DM7+DP7+DS7+DV7+DY7+EB7</f>
        <v>290</v>
      </c>
      <c r="P7" s="24">
        <f t="shared" ref="P7:P44" si="53">(O7/N7)*100</f>
        <v>0.39540845468599811</v>
      </c>
      <c r="Q7" s="31">
        <f>14222040/1000</f>
        <v>14222.04</v>
      </c>
      <c r="R7" s="31">
        <v>0</v>
      </c>
      <c r="S7" s="31">
        <f>R7/Q7%</f>
        <v>0</v>
      </c>
      <c r="T7" s="30">
        <v>0</v>
      </c>
      <c r="U7" s="31">
        <v>0</v>
      </c>
      <c r="V7" s="31" t="s">
        <v>56</v>
      </c>
      <c r="W7" s="30">
        <v>2800</v>
      </c>
      <c r="X7" s="31">
        <v>0</v>
      </c>
      <c r="Y7" s="31">
        <f t="shared" si="3"/>
        <v>0</v>
      </c>
      <c r="Z7" s="30">
        <v>0</v>
      </c>
      <c r="AA7" s="31">
        <v>0</v>
      </c>
      <c r="AB7" s="31" t="s">
        <v>56</v>
      </c>
      <c r="AC7" s="30">
        <v>0</v>
      </c>
      <c r="AD7" s="31">
        <v>0</v>
      </c>
      <c r="AE7" s="31" t="s">
        <v>56</v>
      </c>
      <c r="AF7" s="30">
        <v>0</v>
      </c>
      <c r="AG7" s="31">
        <v>0</v>
      </c>
      <c r="AH7" s="31" t="s">
        <v>56</v>
      </c>
      <c r="AI7" s="30">
        <v>0</v>
      </c>
      <c r="AJ7" s="30">
        <v>0</v>
      </c>
      <c r="AK7" s="31" t="s">
        <v>56</v>
      </c>
      <c r="AL7" s="31">
        <f>2688700/1000</f>
        <v>2688.7</v>
      </c>
      <c r="AM7" s="31">
        <v>0</v>
      </c>
      <c r="AN7" s="31">
        <v>0</v>
      </c>
      <c r="AO7" s="31">
        <v>0</v>
      </c>
      <c r="AP7" s="31">
        <v>0</v>
      </c>
      <c r="AQ7" s="31" t="s">
        <v>56</v>
      </c>
      <c r="AR7" s="31">
        <v>0</v>
      </c>
      <c r="AS7" s="31">
        <v>0</v>
      </c>
      <c r="AT7" s="31" t="s">
        <v>56</v>
      </c>
      <c r="AU7" s="31">
        <f>1224794.6/1000</f>
        <v>1224.7946000000002</v>
      </c>
      <c r="AV7" s="31">
        <v>0</v>
      </c>
      <c r="AW7" s="31">
        <v>0</v>
      </c>
      <c r="AX7" s="30">
        <v>0</v>
      </c>
      <c r="AY7" s="31">
        <v>0</v>
      </c>
      <c r="AZ7" s="31" t="s">
        <v>56</v>
      </c>
      <c r="BA7" s="30">
        <v>0</v>
      </c>
      <c r="BB7" s="31">
        <v>0</v>
      </c>
      <c r="BC7" s="31" t="s">
        <v>56</v>
      </c>
      <c r="BD7" s="30">
        <f>123021.83/1000</f>
        <v>123.02183000000001</v>
      </c>
      <c r="BE7" s="31">
        <v>0</v>
      </c>
      <c r="BF7" s="31">
        <v>0</v>
      </c>
      <c r="BG7" s="30">
        <f>50000/1000</f>
        <v>50</v>
      </c>
      <c r="BH7" s="31">
        <v>0</v>
      </c>
      <c r="BI7" s="31">
        <v>0</v>
      </c>
      <c r="BJ7" s="30">
        <v>0</v>
      </c>
      <c r="BK7" s="31">
        <v>0</v>
      </c>
      <c r="BL7" s="31" t="s">
        <v>56</v>
      </c>
      <c r="BM7" s="30">
        <v>0</v>
      </c>
      <c r="BN7" s="31">
        <v>0</v>
      </c>
      <c r="BO7" s="31" t="s">
        <v>56</v>
      </c>
      <c r="BP7" s="30">
        <v>0</v>
      </c>
      <c r="BQ7" s="31">
        <v>0</v>
      </c>
      <c r="BR7" s="31" t="s">
        <v>56</v>
      </c>
      <c r="BS7" s="30">
        <v>0</v>
      </c>
      <c r="BT7" s="31">
        <v>0</v>
      </c>
      <c r="BU7" s="31" t="s">
        <v>56</v>
      </c>
      <c r="BV7" s="31">
        <v>0</v>
      </c>
      <c r="BW7" s="31">
        <v>0</v>
      </c>
      <c r="BX7" s="31" t="s">
        <v>56</v>
      </c>
      <c r="BY7" s="31">
        <f>5768.8</f>
        <v>5768.8</v>
      </c>
      <c r="BZ7" s="31">
        <v>290</v>
      </c>
      <c r="CA7" s="32">
        <f t="shared" ref="CA7:CA37" si="54">(BZ7/BY7)*100</f>
        <v>5.0270420191374292</v>
      </c>
      <c r="CB7" s="30">
        <v>0</v>
      </c>
      <c r="CC7" s="30">
        <v>0</v>
      </c>
      <c r="CD7" s="33" t="s">
        <v>56</v>
      </c>
      <c r="CE7" s="30">
        <v>0</v>
      </c>
      <c r="CF7" s="30">
        <v>0</v>
      </c>
      <c r="CG7" s="33" t="s">
        <v>56</v>
      </c>
      <c r="CH7" s="33">
        <v>0</v>
      </c>
      <c r="CI7" s="33">
        <v>0</v>
      </c>
      <c r="CJ7" s="33" t="s">
        <v>56</v>
      </c>
      <c r="CK7" s="30">
        <v>0</v>
      </c>
      <c r="CL7" s="30">
        <v>0</v>
      </c>
      <c r="CM7" s="33" t="s">
        <v>56</v>
      </c>
      <c r="CN7" s="30">
        <f>19923250/1000</f>
        <v>19923.25</v>
      </c>
      <c r="CO7" s="33">
        <v>0</v>
      </c>
      <c r="CP7" s="33">
        <v>0</v>
      </c>
      <c r="CQ7" s="33">
        <v>0</v>
      </c>
      <c r="CR7" s="33">
        <v>0</v>
      </c>
      <c r="CS7" s="33" t="s">
        <v>56</v>
      </c>
      <c r="CT7" s="33">
        <v>0</v>
      </c>
      <c r="CU7" s="33">
        <v>0</v>
      </c>
      <c r="CV7" s="33" t="s">
        <v>56</v>
      </c>
      <c r="CW7" s="33">
        <f>1892952/1000</f>
        <v>1892.952</v>
      </c>
      <c r="CX7" s="33">
        <v>0</v>
      </c>
      <c r="CY7" s="33">
        <v>0</v>
      </c>
      <c r="CZ7" s="33">
        <f>2035723/1000</f>
        <v>2035.723</v>
      </c>
      <c r="DA7" s="33">
        <v>0</v>
      </c>
      <c r="DB7" s="33">
        <f>(DA7/CZ7)*100</f>
        <v>0</v>
      </c>
      <c r="DC7" s="33">
        <v>0</v>
      </c>
      <c r="DD7" s="33">
        <v>0</v>
      </c>
      <c r="DE7" s="33" t="s">
        <v>56</v>
      </c>
      <c r="DF7" s="33">
        <v>0</v>
      </c>
      <c r="DG7" s="33">
        <v>0</v>
      </c>
      <c r="DH7" s="33" t="s">
        <v>56</v>
      </c>
      <c r="DI7" s="33">
        <f>22612600/1000</f>
        <v>22612.6</v>
      </c>
      <c r="DJ7" s="33">
        <v>0</v>
      </c>
      <c r="DK7" s="33">
        <v>0</v>
      </c>
      <c r="DL7" s="33">
        <v>0</v>
      </c>
      <c r="DM7" s="33">
        <v>0</v>
      </c>
      <c r="DN7" s="33" t="s">
        <v>56</v>
      </c>
      <c r="DO7" s="33">
        <v>0</v>
      </c>
      <c r="DP7" s="33">
        <v>0</v>
      </c>
      <c r="DQ7" s="33" t="s">
        <v>56</v>
      </c>
      <c r="DR7" s="33">
        <v>0</v>
      </c>
      <c r="DS7" s="33">
        <v>0</v>
      </c>
      <c r="DT7" s="33" t="s">
        <v>56</v>
      </c>
      <c r="DU7" s="33">
        <v>0</v>
      </c>
      <c r="DV7" s="33">
        <v>0</v>
      </c>
      <c r="DW7" s="33" t="s">
        <v>56</v>
      </c>
      <c r="DX7" s="30">
        <v>0</v>
      </c>
      <c r="DY7" s="31">
        <v>0</v>
      </c>
      <c r="DZ7" s="33" t="s">
        <v>56</v>
      </c>
      <c r="EA7" s="30">
        <v>0</v>
      </c>
      <c r="EB7" s="31">
        <v>0</v>
      </c>
      <c r="EC7" s="33" t="s">
        <v>56</v>
      </c>
      <c r="ED7" s="23">
        <f t="shared" ref="ED7:ED43" si="55">EG7+EJ7+EM7+EP7+ES7+EV7+EY7+FB7+FE7+FH7+FK7+FN7+FQ7+FT7+FW7+FZ7+GC7+GF7+GI7+GL7+GO7+GR7+GU7+GX7+HA7+HD7</f>
        <v>282376.17300000007</v>
      </c>
      <c r="EE7" s="23">
        <f t="shared" ref="EE7:EE42" si="56">EH7+EK7+EN7+EQ7+ET7+EW7+EZ7+FC7+FF7+FI7+FL7+FO7+FR7+FU7+FX7+GA7+GD7+GG7+GJ7+GM7+GP7+GS7+GV7+GY7+HB7+HE7</f>
        <v>92015.266329999984</v>
      </c>
      <c r="EF7" s="24">
        <f t="shared" ref="EF7:EF44" si="57">(EE7/ED7)*100</f>
        <v>32.586058997973588</v>
      </c>
      <c r="EG7" s="34">
        <f>2265300/1000</f>
        <v>2265.3000000000002</v>
      </c>
      <c r="EH7" s="34">
        <f>730339.1/1000</f>
        <v>730.33910000000003</v>
      </c>
      <c r="EI7" s="31">
        <f t="shared" si="26"/>
        <v>32.240281640400831</v>
      </c>
      <c r="EJ7" s="34">
        <f>114200/1000</f>
        <v>114.2</v>
      </c>
      <c r="EK7" s="31">
        <v>0</v>
      </c>
      <c r="EL7" s="31">
        <f t="shared" si="28"/>
        <v>0</v>
      </c>
      <c r="EM7" s="34">
        <f>2625/1000</f>
        <v>2.625</v>
      </c>
      <c r="EN7" s="31">
        <v>0</v>
      </c>
      <c r="EO7" s="31">
        <f t="shared" si="29"/>
        <v>0</v>
      </c>
      <c r="EP7" s="34">
        <v>68105.899999999994</v>
      </c>
      <c r="EQ7" s="31">
        <v>24539.291000000001</v>
      </c>
      <c r="ER7" s="31">
        <f t="shared" ref="ER7:ER42" si="58">EQ7/EP7%</f>
        <v>36.031079539364434</v>
      </c>
      <c r="ES7" s="31">
        <v>166375.5</v>
      </c>
      <c r="ET7" s="31">
        <v>58977.9</v>
      </c>
      <c r="EU7" s="36">
        <f t="shared" ref="EU7:EU44" si="59">(ET7/ES7)*100</f>
        <v>35.44866882443629</v>
      </c>
      <c r="EV7" s="34">
        <f>9932000/1000</f>
        <v>9932</v>
      </c>
      <c r="EW7" s="33">
        <v>2865.7</v>
      </c>
      <c r="EX7" s="33">
        <f t="shared" ref="EX7:EX42" si="60">EW7/EV7%</f>
        <v>28.853201772049939</v>
      </c>
      <c r="EY7" s="34">
        <f>12392900/1000</f>
        <v>12392.9</v>
      </c>
      <c r="EZ7" s="31">
        <v>0</v>
      </c>
      <c r="FA7" s="31">
        <f t="shared" si="30"/>
        <v>0</v>
      </c>
      <c r="FB7" s="34">
        <f>981600/1000</f>
        <v>981.6</v>
      </c>
      <c r="FC7" s="31">
        <v>0</v>
      </c>
      <c r="FD7" s="31">
        <f>FC7/FB7%</f>
        <v>0</v>
      </c>
      <c r="FE7" s="34">
        <v>0</v>
      </c>
      <c r="FF7" s="31">
        <v>0</v>
      </c>
      <c r="FG7" s="31" t="s">
        <v>56</v>
      </c>
      <c r="FH7" s="34">
        <f>3230448/1000</f>
        <v>3230.4479999999999</v>
      </c>
      <c r="FI7" s="31">
        <f>562725.48/1000</f>
        <v>562.72547999999995</v>
      </c>
      <c r="FJ7" s="31">
        <f t="shared" si="31"/>
        <v>17.419425417155761</v>
      </c>
      <c r="FK7" s="34">
        <f>227500/1000</f>
        <v>227.5</v>
      </c>
      <c r="FL7" s="31">
        <v>56.7</v>
      </c>
      <c r="FM7" s="31">
        <f t="shared" si="33"/>
        <v>24.923076923076927</v>
      </c>
      <c r="FN7" s="34">
        <f>2500/1000</f>
        <v>2.5</v>
      </c>
      <c r="FO7" s="31">
        <v>0</v>
      </c>
      <c r="FP7" s="31">
        <f t="shared" si="34"/>
        <v>0</v>
      </c>
      <c r="FQ7" s="34">
        <f>127300/1000</f>
        <v>127.3</v>
      </c>
      <c r="FR7" s="31">
        <v>31.8</v>
      </c>
      <c r="FS7" s="31">
        <f>FR7/FQ7%</f>
        <v>24.980361351139045</v>
      </c>
      <c r="FT7" s="34">
        <v>0</v>
      </c>
      <c r="FU7" s="31">
        <v>0</v>
      </c>
      <c r="FV7" s="31" t="s">
        <v>56</v>
      </c>
      <c r="FW7" s="34">
        <f>573600/1000</f>
        <v>573.6</v>
      </c>
      <c r="FX7" s="31">
        <f>104862/1000</f>
        <v>104.86199999999999</v>
      </c>
      <c r="FY7" s="31">
        <f t="shared" si="36"/>
        <v>18.281380753138073</v>
      </c>
      <c r="FZ7" s="34">
        <f>209900/1000</f>
        <v>209.9</v>
      </c>
      <c r="GA7" s="31">
        <f>51732.62/1000</f>
        <v>51.732620000000004</v>
      </c>
      <c r="GB7" s="31">
        <f t="shared" si="37"/>
        <v>24.646317293949501</v>
      </c>
      <c r="GC7" s="34">
        <v>0</v>
      </c>
      <c r="GD7" s="31">
        <v>0</v>
      </c>
      <c r="GE7" s="31" t="s">
        <v>56</v>
      </c>
      <c r="GF7" s="35">
        <f>4400/1000</f>
        <v>4.4000000000000004</v>
      </c>
      <c r="GG7" s="31">
        <v>0</v>
      </c>
      <c r="GH7" s="31">
        <v>0</v>
      </c>
      <c r="GI7" s="35">
        <v>2257.4</v>
      </c>
      <c r="GJ7" s="31">
        <v>389.57012999999995</v>
      </c>
      <c r="GK7" s="31">
        <f t="shared" si="40"/>
        <v>17.257470098343223</v>
      </c>
      <c r="GL7" s="34">
        <v>0</v>
      </c>
      <c r="GM7" s="34">
        <v>0</v>
      </c>
      <c r="GN7" s="31" t="s">
        <v>56</v>
      </c>
      <c r="GO7" s="34">
        <f>278400/1000</f>
        <v>278.39999999999998</v>
      </c>
      <c r="GP7" s="31">
        <f>66246/1000</f>
        <v>66.245999999999995</v>
      </c>
      <c r="GQ7" s="31">
        <f t="shared" si="42"/>
        <v>23.795258620689655</v>
      </c>
      <c r="GR7" s="34">
        <f>1966000/1000</f>
        <v>1966</v>
      </c>
      <c r="GS7" s="31">
        <v>450.5</v>
      </c>
      <c r="GT7" s="31">
        <f>GS7/GR7%</f>
        <v>22.914547304170906</v>
      </c>
      <c r="GU7" s="34">
        <v>0</v>
      </c>
      <c r="GV7" s="31">
        <v>0</v>
      </c>
      <c r="GW7" s="31" t="s">
        <v>56</v>
      </c>
      <c r="GX7" s="34">
        <f>233800/1000</f>
        <v>233.8</v>
      </c>
      <c r="GY7" s="31">
        <v>0</v>
      </c>
      <c r="GZ7" s="31">
        <v>0</v>
      </c>
      <c r="HA7" s="31">
        <f>55500/1000+10578.4</f>
        <v>10633.9</v>
      </c>
      <c r="HB7" s="31">
        <v>2572.6</v>
      </c>
      <c r="HC7" s="36">
        <f t="shared" ref="HC7:HC44" si="61">(HB7/HA7)*100</f>
        <v>24.192441155173551</v>
      </c>
      <c r="HD7" s="34">
        <f>2461000/1000</f>
        <v>2461</v>
      </c>
      <c r="HE7" s="31">
        <v>615.29999999999995</v>
      </c>
      <c r="HF7" s="31">
        <f t="shared" ref="HF7:HF37" si="62">(HE7/HD7)*100</f>
        <v>25.002031694433157</v>
      </c>
      <c r="HG7" s="28">
        <f t="shared" ref="HG7:HG43" si="63">HJ7+HM7+HP7+HS7+HV7+HY7+IB7+IE7+IH7+IK7+IN7+IQ7</f>
        <v>8924.2000000000007</v>
      </c>
      <c r="HH7" s="28">
        <f t="shared" ref="HH7:HH42" si="64">HK7+HN7+HQ7+HT7+HW7+HZ7+IC7+IF7+II7+IL7+IO7+IR7</f>
        <v>0</v>
      </c>
      <c r="HI7" s="26">
        <v>0</v>
      </c>
      <c r="HJ7" s="37">
        <v>0</v>
      </c>
      <c r="HK7" s="37">
        <v>0</v>
      </c>
      <c r="HL7" s="37" t="s">
        <v>56</v>
      </c>
      <c r="HM7" s="33">
        <f>450000/1000</f>
        <v>450</v>
      </c>
      <c r="HN7" s="33">
        <v>0</v>
      </c>
      <c r="HO7" s="33">
        <v>0</v>
      </c>
      <c r="HP7" s="33">
        <f>5474200/1000</f>
        <v>5474.2</v>
      </c>
      <c r="HQ7" s="37">
        <v>0</v>
      </c>
      <c r="HR7" s="37">
        <v>0</v>
      </c>
      <c r="HS7" s="37">
        <v>0</v>
      </c>
      <c r="HT7" s="37">
        <v>0</v>
      </c>
      <c r="HU7" s="37" t="s">
        <v>56</v>
      </c>
      <c r="HV7" s="30">
        <f>2970000/1000</f>
        <v>2970</v>
      </c>
      <c r="HW7" s="31">
        <v>0</v>
      </c>
      <c r="HX7" s="31">
        <v>0</v>
      </c>
      <c r="HY7" s="30">
        <v>0</v>
      </c>
      <c r="HZ7" s="31">
        <v>0</v>
      </c>
      <c r="IA7" s="31" t="s">
        <v>56</v>
      </c>
      <c r="IB7" s="31">
        <v>0</v>
      </c>
      <c r="IC7" s="31">
        <v>0</v>
      </c>
      <c r="ID7" s="31" t="s">
        <v>56</v>
      </c>
      <c r="IE7" s="31">
        <f>30000/1000</f>
        <v>30</v>
      </c>
      <c r="IF7" s="31">
        <v>0</v>
      </c>
      <c r="IG7" s="31">
        <v>0</v>
      </c>
      <c r="IH7" s="31">
        <v>0</v>
      </c>
      <c r="II7" s="31">
        <v>0</v>
      </c>
      <c r="IJ7" s="31" t="s">
        <v>56</v>
      </c>
      <c r="IK7" s="31">
        <v>0</v>
      </c>
      <c r="IL7" s="31">
        <v>0</v>
      </c>
      <c r="IM7" s="31" t="s">
        <v>56</v>
      </c>
      <c r="IN7" s="31">
        <v>0</v>
      </c>
      <c r="IO7" s="31">
        <v>0</v>
      </c>
      <c r="IP7" s="31" t="s">
        <v>56</v>
      </c>
      <c r="IQ7" s="31">
        <v>0</v>
      </c>
      <c r="IR7" s="31">
        <v>0</v>
      </c>
      <c r="IS7" s="31" t="s">
        <v>56</v>
      </c>
      <c r="IT7" s="11">
        <f t="shared" ref="IT7:IT43" si="65">B7+N7+ED7+HG7</f>
        <v>648661.25442999997</v>
      </c>
      <c r="IU7" s="10">
        <f t="shared" ref="IU7:IU37" si="66">C7+O7+EE7+HH7</f>
        <v>205305.26632999998</v>
      </c>
      <c r="IV7" s="10">
        <f t="shared" ref="IV7:IV44" si="67">(IU7/IT7)*100</f>
        <v>31.650613463942516</v>
      </c>
      <c r="IW7" s="16"/>
      <c r="IX7" s="16"/>
      <c r="IZ7" s="18"/>
    </row>
    <row r="8" spans="1:260" x14ac:dyDescent="0.2">
      <c r="A8" s="13" t="s">
        <v>7</v>
      </c>
      <c r="B8" s="23">
        <f t="shared" si="47"/>
        <v>123718</v>
      </c>
      <c r="C8" s="23">
        <f t="shared" si="48"/>
        <v>31869.599999999999</v>
      </c>
      <c r="D8" s="24">
        <f t="shared" si="49"/>
        <v>25.759873260156162</v>
      </c>
      <c r="E8" s="30">
        <v>123718</v>
      </c>
      <c r="F8" s="31">
        <v>31869.599999999999</v>
      </c>
      <c r="G8" s="31">
        <f t="shared" si="50"/>
        <v>25.759873260156162</v>
      </c>
      <c r="H8" s="30">
        <v>0</v>
      </c>
      <c r="I8" s="30">
        <v>0</v>
      </c>
      <c r="J8" s="31" t="s">
        <v>56</v>
      </c>
      <c r="K8" s="31">
        <v>0</v>
      </c>
      <c r="L8" s="31">
        <v>0</v>
      </c>
      <c r="M8" s="31" t="s">
        <v>56</v>
      </c>
      <c r="N8" s="23">
        <f t="shared" si="51"/>
        <v>34648.382810000003</v>
      </c>
      <c r="O8" s="23">
        <f t="shared" si="52"/>
        <v>0</v>
      </c>
      <c r="P8" s="24">
        <f t="shared" si="53"/>
        <v>0</v>
      </c>
      <c r="Q8" s="31">
        <f>16253760/1000</f>
        <v>16253.76</v>
      </c>
      <c r="R8" s="31">
        <v>0</v>
      </c>
      <c r="S8" s="31">
        <f t="shared" ref="S8:S38" si="68">R8/Q8%</f>
        <v>0</v>
      </c>
      <c r="T8" s="30">
        <v>0</v>
      </c>
      <c r="U8" s="31">
        <v>0</v>
      </c>
      <c r="V8" s="31" t="s">
        <v>56</v>
      </c>
      <c r="W8" s="30">
        <v>0</v>
      </c>
      <c r="X8" s="31">
        <v>0</v>
      </c>
      <c r="Y8" s="31" t="s">
        <v>56</v>
      </c>
      <c r="Z8" s="30">
        <v>0</v>
      </c>
      <c r="AA8" s="31">
        <v>0</v>
      </c>
      <c r="AB8" s="31" t="s">
        <v>56</v>
      </c>
      <c r="AC8" s="30">
        <v>0</v>
      </c>
      <c r="AD8" s="31">
        <v>0</v>
      </c>
      <c r="AE8" s="31" t="s">
        <v>56</v>
      </c>
      <c r="AF8" s="30">
        <v>0</v>
      </c>
      <c r="AG8" s="31">
        <v>0</v>
      </c>
      <c r="AH8" s="31" t="s">
        <v>56</v>
      </c>
      <c r="AI8" s="30">
        <v>0</v>
      </c>
      <c r="AJ8" s="30">
        <v>0</v>
      </c>
      <c r="AK8" s="31" t="s">
        <v>56</v>
      </c>
      <c r="AL8" s="31">
        <f>922400/1000</f>
        <v>922.4</v>
      </c>
      <c r="AM8" s="31">
        <v>0</v>
      </c>
      <c r="AN8" s="31">
        <v>0</v>
      </c>
      <c r="AO8" s="31">
        <v>0</v>
      </c>
      <c r="AP8" s="31">
        <v>0</v>
      </c>
      <c r="AQ8" s="31" t="s">
        <v>56</v>
      </c>
      <c r="AR8" s="31">
        <v>0</v>
      </c>
      <c r="AS8" s="31">
        <v>0</v>
      </c>
      <c r="AT8" s="31" t="s">
        <v>56</v>
      </c>
      <c r="AU8" s="31">
        <v>0</v>
      </c>
      <c r="AV8" s="31">
        <v>0</v>
      </c>
      <c r="AW8" s="31" t="s">
        <v>56</v>
      </c>
      <c r="AX8" s="30">
        <v>0</v>
      </c>
      <c r="AY8" s="31">
        <v>0</v>
      </c>
      <c r="AZ8" s="31" t="s">
        <v>56</v>
      </c>
      <c r="BA8" s="30">
        <v>0</v>
      </c>
      <c r="BB8" s="31">
        <v>0</v>
      </c>
      <c r="BC8" s="31" t="s">
        <v>56</v>
      </c>
      <c r="BD8" s="30">
        <f>100654.23/1000</f>
        <v>100.65423</v>
      </c>
      <c r="BE8" s="31">
        <v>0</v>
      </c>
      <c r="BF8" s="31">
        <v>0</v>
      </c>
      <c r="BG8" s="30">
        <f>50000/1000</f>
        <v>50</v>
      </c>
      <c r="BH8" s="31">
        <v>0</v>
      </c>
      <c r="BI8" s="31">
        <v>0</v>
      </c>
      <c r="BJ8" s="30">
        <v>0</v>
      </c>
      <c r="BK8" s="31">
        <v>0</v>
      </c>
      <c r="BL8" s="31" t="s">
        <v>56</v>
      </c>
      <c r="BM8" s="30">
        <v>0</v>
      </c>
      <c r="BN8" s="31">
        <v>0</v>
      </c>
      <c r="BO8" s="31" t="s">
        <v>56</v>
      </c>
      <c r="BP8" s="30">
        <v>0</v>
      </c>
      <c r="BQ8" s="31">
        <v>0</v>
      </c>
      <c r="BR8" s="31" t="s">
        <v>56</v>
      </c>
      <c r="BS8" s="30">
        <v>0</v>
      </c>
      <c r="BT8" s="31">
        <v>0</v>
      </c>
      <c r="BU8" s="31" t="s">
        <v>56</v>
      </c>
      <c r="BV8" s="31">
        <v>0</v>
      </c>
      <c r="BW8" s="31">
        <v>0</v>
      </c>
      <c r="BX8" s="31" t="s">
        <v>56</v>
      </c>
      <c r="BY8" s="31">
        <v>0</v>
      </c>
      <c r="BZ8" s="31">
        <v>0</v>
      </c>
      <c r="CA8" s="32" t="s">
        <v>56</v>
      </c>
      <c r="CB8" s="30">
        <v>0</v>
      </c>
      <c r="CC8" s="30">
        <v>0</v>
      </c>
      <c r="CD8" s="33" t="s">
        <v>56</v>
      </c>
      <c r="CE8" s="30">
        <v>0</v>
      </c>
      <c r="CF8" s="30">
        <v>0</v>
      </c>
      <c r="CG8" s="33" t="s">
        <v>56</v>
      </c>
      <c r="CH8" s="33">
        <v>0</v>
      </c>
      <c r="CI8" s="33">
        <v>0</v>
      </c>
      <c r="CJ8" s="33" t="s">
        <v>56</v>
      </c>
      <c r="CK8" s="30">
        <v>0</v>
      </c>
      <c r="CL8" s="30">
        <v>0</v>
      </c>
      <c r="CM8" s="33" t="s">
        <v>56</v>
      </c>
      <c r="CN8" s="30">
        <f>672141/1000</f>
        <v>672.14099999999996</v>
      </c>
      <c r="CO8" s="33">
        <v>0</v>
      </c>
      <c r="CP8" s="33">
        <v>0</v>
      </c>
      <c r="CQ8" s="33">
        <f>200491.58/1000</f>
        <v>200.49158</v>
      </c>
      <c r="CR8" s="33">
        <v>0</v>
      </c>
      <c r="CS8" s="33">
        <v>0</v>
      </c>
      <c r="CT8" s="33">
        <v>0</v>
      </c>
      <c r="CU8" s="33">
        <v>0</v>
      </c>
      <c r="CV8" s="33" t="s">
        <v>56</v>
      </c>
      <c r="CW8" s="33">
        <f>3712805/1000</f>
        <v>3712.8049999999998</v>
      </c>
      <c r="CX8" s="33">
        <v>0</v>
      </c>
      <c r="CY8" s="33">
        <v>0</v>
      </c>
      <c r="CZ8" s="33">
        <v>0</v>
      </c>
      <c r="DA8" s="33">
        <v>0</v>
      </c>
      <c r="DB8" s="33" t="s">
        <v>56</v>
      </c>
      <c r="DC8" s="33">
        <v>0</v>
      </c>
      <c r="DD8" s="33">
        <v>0</v>
      </c>
      <c r="DE8" s="33" t="s">
        <v>56</v>
      </c>
      <c r="DF8" s="33">
        <v>0</v>
      </c>
      <c r="DG8" s="33">
        <v>0</v>
      </c>
      <c r="DH8" s="33" t="s">
        <v>56</v>
      </c>
      <c r="DI8" s="33">
        <f>9541300/1000</f>
        <v>9541.2999999999993</v>
      </c>
      <c r="DJ8" s="33">
        <v>0</v>
      </c>
      <c r="DK8" s="33">
        <v>0</v>
      </c>
      <c r="DL8" s="33">
        <f>500000/1000</f>
        <v>500</v>
      </c>
      <c r="DM8" s="33">
        <v>0</v>
      </c>
      <c r="DN8" s="33">
        <v>0</v>
      </c>
      <c r="DO8" s="33">
        <v>0</v>
      </c>
      <c r="DP8" s="33">
        <v>0</v>
      </c>
      <c r="DQ8" s="33" t="s">
        <v>56</v>
      </c>
      <c r="DR8" s="33">
        <v>0</v>
      </c>
      <c r="DS8" s="33">
        <v>0</v>
      </c>
      <c r="DT8" s="33" t="s">
        <v>56</v>
      </c>
      <c r="DU8" s="33">
        <v>0</v>
      </c>
      <c r="DV8" s="33">
        <v>0</v>
      </c>
      <c r="DW8" s="33" t="s">
        <v>56</v>
      </c>
      <c r="DX8" s="30">
        <v>0</v>
      </c>
      <c r="DY8" s="31">
        <v>0</v>
      </c>
      <c r="DZ8" s="33" t="s">
        <v>56</v>
      </c>
      <c r="EA8" s="30">
        <f>2694831/1000</f>
        <v>2694.8310000000001</v>
      </c>
      <c r="EB8" s="31">
        <v>0</v>
      </c>
      <c r="EC8" s="33">
        <f>EB8/EA8%</f>
        <v>0</v>
      </c>
      <c r="ED8" s="23">
        <f t="shared" si="55"/>
        <v>193585.06199999998</v>
      </c>
      <c r="EE8" s="23">
        <f t="shared" si="56"/>
        <v>36579.389760000013</v>
      </c>
      <c r="EF8" s="24">
        <f t="shared" si="57"/>
        <v>18.895770873064585</v>
      </c>
      <c r="EG8" s="34">
        <f>1057100/1000</f>
        <v>1057.0999999999999</v>
      </c>
      <c r="EH8" s="34">
        <f>321926.29/1000</f>
        <v>321.92628999999999</v>
      </c>
      <c r="EI8" s="31">
        <f t="shared" si="26"/>
        <v>30.453721502223065</v>
      </c>
      <c r="EJ8" s="34">
        <v>0</v>
      </c>
      <c r="EK8" s="31">
        <v>0</v>
      </c>
      <c r="EL8" s="31" t="s">
        <v>56</v>
      </c>
      <c r="EM8" s="34">
        <f>308/1000</f>
        <v>0.308</v>
      </c>
      <c r="EN8" s="31">
        <v>0</v>
      </c>
      <c r="EO8" s="31">
        <f t="shared" si="29"/>
        <v>0</v>
      </c>
      <c r="EP8" s="34">
        <v>44070.8</v>
      </c>
      <c r="EQ8" s="31">
        <v>8290.5789999999997</v>
      </c>
      <c r="ER8" s="31">
        <f t="shared" si="58"/>
        <v>18.811954854461455</v>
      </c>
      <c r="ES8" s="31">
        <v>121476</v>
      </c>
      <c r="ET8" s="31">
        <v>23977.599999999999</v>
      </c>
      <c r="EU8" s="36">
        <f t="shared" si="59"/>
        <v>19.738549178438539</v>
      </c>
      <c r="EV8" s="34">
        <f>8127000/1000</f>
        <v>8127</v>
      </c>
      <c r="EW8" s="33">
        <v>1405.3</v>
      </c>
      <c r="EX8" s="33">
        <f t="shared" si="60"/>
        <v>17.291743570813338</v>
      </c>
      <c r="EY8" s="34">
        <f>5847100/1000</f>
        <v>5847.1</v>
      </c>
      <c r="EZ8" s="31">
        <v>0</v>
      </c>
      <c r="FA8" s="31">
        <f t="shared" si="30"/>
        <v>0</v>
      </c>
      <c r="FB8" s="34">
        <v>0</v>
      </c>
      <c r="FC8" s="31">
        <v>0</v>
      </c>
      <c r="FD8" s="31" t="s">
        <v>56</v>
      </c>
      <c r="FE8" s="34">
        <v>0</v>
      </c>
      <c r="FF8" s="31">
        <v>0</v>
      </c>
      <c r="FG8" s="31" t="s">
        <v>56</v>
      </c>
      <c r="FH8" s="34">
        <f>2563754/1000</f>
        <v>2563.7539999999999</v>
      </c>
      <c r="FI8" s="31">
        <f>155920.53/1000</f>
        <v>155.92052999999999</v>
      </c>
      <c r="FJ8" s="31">
        <f t="shared" si="31"/>
        <v>6.0817274200254783</v>
      </c>
      <c r="FK8" s="34">
        <f>210000/1000</f>
        <v>210</v>
      </c>
      <c r="FL8" s="31">
        <v>52.5</v>
      </c>
      <c r="FM8" s="31">
        <f t="shared" si="33"/>
        <v>25</v>
      </c>
      <c r="FN8" s="34">
        <f>500/1000</f>
        <v>0.5</v>
      </c>
      <c r="FO8" s="31">
        <v>0</v>
      </c>
      <c r="FP8" s="31">
        <f t="shared" si="34"/>
        <v>0</v>
      </c>
      <c r="FQ8" s="34">
        <f>95500/1000</f>
        <v>95.5</v>
      </c>
      <c r="FR8" s="31">
        <v>15.9</v>
      </c>
      <c r="FS8" s="31">
        <f t="shared" ref="FS8:FS37" si="69">FR8/FQ8%</f>
        <v>16.649214659685864</v>
      </c>
      <c r="FT8" s="34">
        <v>0</v>
      </c>
      <c r="FU8" s="31">
        <v>0</v>
      </c>
      <c r="FV8" s="31" t="s">
        <v>56</v>
      </c>
      <c r="FW8" s="34">
        <f>540300/1000</f>
        <v>540.29999999999995</v>
      </c>
      <c r="FX8" s="31">
        <f>112492/1000</f>
        <v>112.492</v>
      </c>
      <c r="FY8" s="31">
        <f t="shared" si="36"/>
        <v>20.820285026836945</v>
      </c>
      <c r="FZ8" s="34">
        <f>198400/1000</f>
        <v>198.4</v>
      </c>
      <c r="GA8" s="31">
        <v>50.91</v>
      </c>
      <c r="GB8" s="31">
        <f t="shared" si="37"/>
        <v>25.660282258064516</v>
      </c>
      <c r="GC8" s="34">
        <v>0</v>
      </c>
      <c r="GD8" s="31">
        <v>0</v>
      </c>
      <c r="GE8" s="31" t="s">
        <v>56</v>
      </c>
      <c r="GF8" s="35">
        <v>0</v>
      </c>
      <c r="GG8" s="31">
        <v>0</v>
      </c>
      <c r="GH8" s="31" t="s">
        <v>56</v>
      </c>
      <c r="GI8" s="35">
        <v>1630.4</v>
      </c>
      <c r="GJ8" s="31">
        <v>386.84548000000001</v>
      </c>
      <c r="GK8" s="31">
        <f t="shared" si="40"/>
        <v>23.727028949950931</v>
      </c>
      <c r="GL8" s="34">
        <v>0</v>
      </c>
      <c r="GM8" s="34">
        <v>0</v>
      </c>
      <c r="GN8" s="31" t="s">
        <v>56</v>
      </c>
      <c r="GO8" s="34">
        <v>0</v>
      </c>
      <c r="GP8" s="31">
        <v>0</v>
      </c>
      <c r="GQ8" s="31" t="s">
        <v>56</v>
      </c>
      <c r="GR8" s="34">
        <f>545200/1000</f>
        <v>545.20000000000005</v>
      </c>
      <c r="GS8" s="31">
        <v>99</v>
      </c>
      <c r="GT8" s="31">
        <f t="shared" ref="GT8:GT9" si="70">GS8/GR8%</f>
        <v>18.158473954512104</v>
      </c>
      <c r="GU8" s="34">
        <v>0</v>
      </c>
      <c r="GV8" s="31">
        <v>0</v>
      </c>
      <c r="GW8" s="31" t="s">
        <v>56</v>
      </c>
      <c r="GX8" s="34">
        <f>113400/1000</f>
        <v>113.4</v>
      </c>
      <c r="GY8" s="31">
        <v>0</v>
      </c>
      <c r="GZ8" s="31">
        <v>0</v>
      </c>
      <c r="HA8" s="31">
        <f>(190500+5597800)/1000</f>
        <v>5788.3</v>
      </c>
      <c r="HB8" s="31">
        <f>1380116.46/1000</f>
        <v>1380.11646</v>
      </c>
      <c r="HC8" s="36">
        <f t="shared" si="61"/>
        <v>23.843208886892523</v>
      </c>
      <c r="HD8" s="34">
        <f>1321000/1000</f>
        <v>1321</v>
      </c>
      <c r="HE8" s="31">
        <v>330.3</v>
      </c>
      <c r="HF8" s="31">
        <f t="shared" si="62"/>
        <v>25.003785011355035</v>
      </c>
      <c r="HG8" s="28">
        <f t="shared" si="63"/>
        <v>2935.5</v>
      </c>
      <c r="HH8" s="28">
        <f t="shared" si="64"/>
        <v>0</v>
      </c>
      <c r="HI8" s="26">
        <f t="shared" si="46"/>
        <v>0</v>
      </c>
      <c r="HJ8" s="37">
        <v>0</v>
      </c>
      <c r="HK8" s="37">
        <v>0</v>
      </c>
      <c r="HL8" s="37" t="s">
        <v>56</v>
      </c>
      <c r="HM8" s="33">
        <v>0</v>
      </c>
      <c r="HN8" s="33">
        <v>0</v>
      </c>
      <c r="HO8" s="33" t="s">
        <v>56</v>
      </c>
      <c r="HP8" s="33">
        <f>2935500/1000</f>
        <v>2935.5</v>
      </c>
      <c r="HQ8" s="37">
        <v>0</v>
      </c>
      <c r="HR8" s="37">
        <v>0</v>
      </c>
      <c r="HS8" s="37">
        <v>0</v>
      </c>
      <c r="HT8" s="37">
        <v>0</v>
      </c>
      <c r="HU8" s="37" t="s">
        <v>56</v>
      </c>
      <c r="HV8" s="38">
        <v>0</v>
      </c>
      <c r="HW8" s="31">
        <v>0</v>
      </c>
      <c r="HX8" s="31" t="s">
        <v>56</v>
      </c>
      <c r="HY8" s="30">
        <v>0</v>
      </c>
      <c r="HZ8" s="31">
        <v>0</v>
      </c>
      <c r="IA8" s="31" t="s">
        <v>56</v>
      </c>
      <c r="IB8" s="31">
        <v>0</v>
      </c>
      <c r="IC8" s="31">
        <v>0</v>
      </c>
      <c r="ID8" s="31" t="s">
        <v>56</v>
      </c>
      <c r="IE8" s="31">
        <v>0</v>
      </c>
      <c r="IF8" s="31">
        <v>0</v>
      </c>
      <c r="IG8" s="31" t="s">
        <v>56</v>
      </c>
      <c r="IH8" s="31">
        <v>0</v>
      </c>
      <c r="II8" s="31">
        <v>0</v>
      </c>
      <c r="IJ8" s="31" t="s">
        <v>56</v>
      </c>
      <c r="IK8" s="31">
        <v>0</v>
      </c>
      <c r="IL8" s="31">
        <v>0</v>
      </c>
      <c r="IM8" s="31" t="s">
        <v>56</v>
      </c>
      <c r="IN8" s="31">
        <v>0</v>
      </c>
      <c r="IO8" s="31">
        <v>0</v>
      </c>
      <c r="IP8" s="31" t="s">
        <v>56</v>
      </c>
      <c r="IQ8" s="31">
        <v>0</v>
      </c>
      <c r="IR8" s="31">
        <v>0</v>
      </c>
      <c r="IS8" s="31" t="s">
        <v>56</v>
      </c>
      <c r="IT8" s="11">
        <f t="shared" si="65"/>
        <v>354886.94481000002</v>
      </c>
      <c r="IU8" s="10">
        <f t="shared" si="66"/>
        <v>68448.989760000011</v>
      </c>
      <c r="IV8" s="10">
        <f t="shared" si="67"/>
        <v>19.287547981413162</v>
      </c>
      <c r="IW8" s="16"/>
      <c r="IX8" s="16"/>
      <c r="IZ8" s="18"/>
    </row>
    <row r="9" spans="1:260" x14ac:dyDescent="0.2">
      <c r="A9" s="13" t="s">
        <v>8</v>
      </c>
      <c r="B9" s="23">
        <f t="shared" si="47"/>
        <v>70391</v>
      </c>
      <c r="C9" s="23">
        <f t="shared" si="48"/>
        <v>14600</v>
      </c>
      <c r="D9" s="24">
        <f t="shared" si="49"/>
        <v>20.741287948743448</v>
      </c>
      <c r="E9" s="30">
        <v>70391</v>
      </c>
      <c r="F9" s="31">
        <v>14600</v>
      </c>
      <c r="G9" s="31">
        <f t="shared" si="50"/>
        <v>20.741287948743448</v>
      </c>
      <c r="H9" s="30">
        <v>0</v>
      </c>
      <c r="I9" s="30">
        <v>0</v>
      </c>
      <c r="J9" s="31" t="s">
        <v>56</v>
      </c>
      <c r="K9" s="31">
        <v>0</v>
      </c>
      <c r="L9" s="31">
        <v>0</v>
      </c>
      <c r="M9" s="31" t="s">
        <v>56</v>
      </c>
      <c r="N9" s="23">
        <f t="shared" si="51"/>
        <v>149639.27772000001</v>
      </c>
      <c r="O9" s="23">
        <f t="shared" si="52"/>
        <v>0</v>
      </c>
      <c r="P9" s="24">
        <f t="shared" si="53"/>
        <v>0</v>
      </c>
      <c r="Q9" s="31">
        <f>30168070/1000</f>
        <v>30168.07</v>
      </c>
      <c r="R9" s="31">
        <v>0</v>
      </c>
      <c r="S9" s="31">
        <f t="shared" si="68"/>
        <v>0</v>
      </c>
      <c r="T9" s="30">
        <v>0</v>
      </c>
      <c r="U9" s="31">
        <v>0</v>
      </c>
      <c r="V9" s="31" t="s">
        <v>56</v>
      </c>
      <c r="W9" s="30">
        <f>4709265.31/1000</f>
        <v>4709.2653099999998</v>
      </c>
      <c r="X9" s="31">
        <v>0</v>
      </c>
      <c r="Y9" s="31">
        <v>0</v>
      </c>
      <c r="Z9" s="30">
        <v>0</v>
      </c>
      <c r="AA9" s="31">
        <v>0</v>
      </c>
      <c r="AB9" s="31" t="s">
        <v>56</v>
      </c>
      <c r="AC9" s="30">
        <v>0</v>
      </c>
      <c r="AD9" s="31">
        <v>0</v>
      </c>
      <c r="AE9" s="31" t="s">
        <v>56</v>
      </c>
      <c r="AF9" s="30">
        <v>0</v>
      </c>
      <c r="AG9" s="31">
        <v>0</v>
      </c>
      <c r="AH9" s="31" t="s">
        <v>56</v>
      </c>
      <c r="AI9" s="30">
        <v>0</v>
      </c>
      <c r="AJ9" s="30">
        <v>0</v>
      </c>
      <c r="AK9" s="31" t="s">
        <v>56</v>
      </c>
      <c r="AL9" s="31">
        <f>1414800/1000</f>
        <v>1414.8</v>
      </c>
      <c r="AM9" s="31">
        <v>0</v>
      </c>
      <c r="AN9" s="31">
        <v>0</v>
      </c>
      <c r="AO9" s="31">
        <v>0</v>
      </c>
      <c r="AP9" s="31">
        <v>0</v>
      </c>
      <c r="AQ9" s="31" t="s">
        <v>56</v>
      </c>
      <c r="AR9" s="31">
        <v>0</v>
      </c>
      <c r="AS9" s="31">
        <v>0</v>
      </c>
      <c r="AT9" s="31" t="s">
        <v>56</v>
      </c>
      <c r="AU9" s="31">
        <f>3120789.78/1000</f>
        <v>3120.7897799999996</v>
      </c>
      <c r="AV9" s="31">
        <v>0</v>
      </c>
      <c r="AW9" s="31">
        <v>0</v>
      </c>
      <c r="AX9" s="30">
        <v>0</v>
      </c>
      <c r="AY9" s="31">
        <v>0</v>
      </c>
      <c r="AZ9" s="31" t="s">
        <v>56</v>
      </c>
      <c r="BA9" s="30">
        <v>0</v>
      </c>
      <c r="BB9" s="31">
        <v>0</v>
      </c>
      <c r="BC9" s="31" t="s">
        <v>56</v>
      </c>
      <c r="BD9" s="30">
        <f>134205.63/1000</f>
        <v>134.20563000000001</v>
      </c>
      <c r="BE9" s="31">
        <v>0</v>
      </c>
      <c r="BF9" s="31">
        <v>0</v>
      </c>
      <c r="BG9" s="30">
        <f>200000/1000</f>
        <v>200</v>
      </c>
      <c r="BH9" s="31">
        <v>0</v>
      </c>
      <c r="BI9" s="31">
        <v>0</v>
      </c>
      <c r="BJ9" s="30">
        <v>0</v>
      </c>
      <c r="BK9" s="31">
        <v>0</v>
      </c>
      <c r="BL9" s="31" t="s">
        <v>56</v>
      </c>
      <c r="BM9" s="30">
        <v>0</v>
      </c>
      <c r="BN9" s="31">
        <v>0</v>
      </c>
      <c r="BO9" s="31" t="s">
        <v>56</v>
      </c>
      <c r="BP9" s="30">
        <v>0</v>
      </c>
      <c r="BQ9" s="31">
        <v>0</v>
      </c>
      <c r="BR9" s="31" t="s">
        <v>56</v>
      </c>
      <c r="BS9" s="30">
        <v>0</v>
      </c>
      <c r="BT9" s="31">
        <v>0</v>
      </c>
      <c r="BU9" s="31" t="s">
        <v>56</v>
      </c>
      <c r="BV9" s="31">
        <v>0</v>
      </c>
      <c r="BW9" s="31">
        <v>0</v>
      </c>
      <c r="BX9" s="31" t="s">
        <v>56</v>
      </c>
      <c r="BY9" s="31">
        <v>0</v>
      </c>
      <c r="BZ9" s="31">
        <v>0</v>
      </c>
      <c r="CA9" s="32" t="s">
        <v>56</v>
      </c>
      <c r="CB9" s="30">
        <v>0</v>
      </c>
      <c r="CC9" s="30">
        <v>0</v>
      </c>
      <c r="CD9" s="33" t="s">
        <v>56</v>
      </c>
      <c r="CE9" s="30">
        <v>0</v>
      </c>
      <c r="CF9" s="30">
        <v>0</v>
      </c>
      <c r="CG9" s="33" t="s">
        <v>56</v>
      </c>
      <c r="CH9" s="33">
        <v>0</v>
      </c>
      <c r="CI9" s="33">
        <v>0</v>
      </c>
      <c r="CJ9" s="33" t="s">
        <v>56</v>
      </c>
      <c r="CK9" s="30">
        <v>0</v>
      </c>
      <c r="CL9" s="30">
        <v>0</v>
      </c>
      <c r="CM9" s="33" t="s">
        <v>56</v>
      </c>
      <c r="CN9" s="30">
        <f>1554780/1000</f>
        <v>1554.78</v>
      </c>
      <c r="CO9" s="33">
        <v>0</v>
      </c>
      <c r="CP9" s="33">
        <v>0</v>
      </c>
      <c r="CQ9" s="33">
        <v>0</v>
      </c>
      <c r="CR9" s="33">
        <v>0</v>
      </c>
      <c r="CS9" s="33" t="s">
        <v>56</v>
      </c>
      <c r="CT9" s="33">
        <v>0</v>
      </c>
      <c r="CU9" s="33">
        <v>0</v>
      </c>
      <c r="CV9" s="33" t="s">
        <v>56</v>
      </c>
      <c r="CW9" s="33">
        <f>3607767/1000</f>
        <v>3607.7669999999998</v>
      </c>
      <c r="CX9" s="33">
        <v>0</v>
      </c>
      <c r="CY9" s="33">
        <v>0</v>
      </c>
      <c r="CZ9" s="33">
        <v>0</v>
      </c>
      <c r="DA9" s="33">
        <v>0</v>
      </c>
      <c r="DB9" s="33" t="s">
        <v>56</v>
      </c>
      <c r="DC9" s="33">
        <f>101012100/1000</f>
        <v>101012.1</v>
      </c>
      <c r="DD9" s="33">
        <v>0</v>
      </c>
      <c r="DE9" s="33">
        <v>0</v>
      </c>
      <c r="DF9" s="33">
        <v>0</v>
      </c>
      <c r="DG9" s="33">
        <v>0</v>
      </c>
      <c r="DH9" s="33" t="s">
        <v>56</v>
      </c>
      <c r="DI9" s="33">
        <f>3717500/1000</f>
        <v>3717.5</v>
      </c>
      <c r="DJ9" s="33">
        <v>0</v>
      </c>
      <c r="DK9" s="33">
        <v>0</v>
      </c>
      <c r="DL9" s="33">
        <v>0</v>
      </c>
      <c r="DM9" s="33">
        <v>0</v>
      </c>
      <c r="DN9" s="33" t="s">
        <v>56</v>
      </c>
      <c r="DO9" s="33">
        <v>0</v>
      </c>
      <c r="DP9" s="33">
        <v>0</v>
      </c>
      <c r="DQ9" s="33" t="s">
        <v>56</v>
      </c>
      <c r="DR9" s="33">
        <v>0</v>
      </c>
      <c r="DS9" s="33">
        <v>0</v>
      </c>
      <c r="DT9" s="33" t="s">
        <v>56</v>
      </c>
      <c r="DU9" s="33">
        <v>0</v>
      </c>
      <c r="DV9" s="33">
        <v>0</v>
      </c>
      <c r="DW9" s="33" t="s">
        <v>56</v>
      </c>
      <c r="DX9" s="30">
        <v>0</v>
      </c>
      <c r="DY9" s="31">
        <v>0</v>
      </c>
      <c r="DZ9" s="33" t="s">
        <v>56</v>
      </c>
      <c r="EA9" s="30">
        <v>0</v>
      </c>
      <c r="EB9" s="31">
        <v>0</v>
      </c>
      <c r="EC9" s="33" t="s">
        <v>56</v>
      </c>
      <c r="ED9" s="23">
        <f t="shared" si="55"/>
        <v>134658.59999999998</v>
      </c>
      <c r="EE9" s="23">
        <f t="shared" si="56"/>
        <v>38532.256719999998</v>
      </c>
      <c r="EF9" s="24">
        <f t="shared" si="57"/>
        <v>28.614775974204399</v>
      </c>
      <c r="EG9" s="34">
        <f>765300/1000</f>
        <v>765.3</v>
      </c>
      <c r="EH9" s="34">
        <f>81893.59/1000</f>
        <v>81.893590000000003</v>
      </c>
      <c r="EI9" s="31">
        <f t="shared" si="26"/>
        <v>10.700848033450935</v>
      </c>
      <c r="EJ9" s="34">
        <v>0</v>
      </c>
      <c r="EK9" s="31">
        <v>0</v>
      </c>
      <c r="EL9" s="31" t="s">
        <v>56</v>
      </c>
      <c r="EM9" s="34">
        <v>0</v>
      </c>
      <c r="EN9" s="31">
        <v>0</v>
      </c>
      <c r="EO9" s="31" t="s">
        <v>56</v>
      </c>
      <c r="EP9" s="34">
        <v>22095.9</v>
      </c>
      <c r="EQ9" s="31">
        <v>6145.7110000000002</v>
      </c>
      <c r="ER9" s="31">
        <f t="shared" si="58"/>
        <v>27.813807086382543</v>
      </c>
      <c r="ES9" s="31">
        <v>95472.9</v>
      </c>
      <c r="ET9" s="31">
        <v>29339.1</v>
      </c>
      <c r="EU9" s="36">
        <f t="shared" si="59"/>
        <v>30.73029100404408</v>
      </c>
      <c r="EV9" s="34">
        <f>7059200/1000</f>
        <v>7059.2</v>
      </c>
      <c r="EW9" s="33">
        <v>1382.4</v>
      </c>
      <c r="EX9" s="33">
        <f t="shared" si="60"/>
        <v>19.582955575702631</v>
      </c>
      <c r="EY9" s="34">
        <f>1313800/1000</f>
        <v>1313.8</v>
      </c>
      <c r="EZ9" s="31">
        <v>0</v>
      </c>
      <c r="FA9" s="31">
        <f t="shared" si="30"/>
        <v>0</v>
      </c>
      <c r="FB9" s="34">
        <v>0</v>
      </c>
      <c r="FC9" s="31">
        <v>0</v>
      </c>
      <c r="FD9" s="31" t="s">
        <v>56</v>
      </c>
      <c r="FE9" s="34">
        <v>0</v>
      </c>
      <c r="FF9" s="31">
        <v>0</v>
      </c>
      <c r="FG9" s="31" t="s">
        <v>56</v>
      </c>
      <c r="FH9" s="34">
        <v>0</v>
      </c>
      <c r="FI9" s="31">
        <v>0</v>
      </c>
      <c r="FJ9" s="31" t="s">
        <v>56</v>
      </c>
      <c r="FK9" s="34">
        <f>227500/1000</f>
        <v>227.5</v>
      </c>
      <c r="FL9" s="31">
        <v>56.7</v>
      </c>
      <c r="FM9" s="31">
        <f t="shared" si="33"/>
        <v>24.923076923076927</v>
      </c>
      <c r="FN9" s="34">
        <f>500/1000</f>
        <v>0.5</v>
      </c>
      <c r="FO9" s="31">
        <v>0</v>
      </c>
      <c r="FP9" s="31">
        <f t="shared" si="34"/>
        <v>0</v>
      </c>
      <c r="FQ9" s="34">
        <f>63600/1000</f>
        <v>63.6</v>
      </c>
      <c r="FR9" s="31">
        <v>15.9</v>
      </c>
      <c r="FS9" s="31">
        <f t="shared" si="69"/>
        <v>25</v>
      </c>
      <c r="FT9" s="34">
        <v>0</v>
      </c>
      <c r="FU9" s="31">
        <v>0</v>
      </c>
      <c r="FV9" s="31" t="s">
        <v>56</v>
      </c>
      <c r="FW9" s="34">
        <f>548400/1000</f>
        <v>548.4</v>
      </c>
      <c r="FX9" s="31">
        <f>97558/1000</f>
        <v>97.558000000000007</v>
      </c>
      <c r="FY9" s="31">
        <f t="shared" si="36"/>
        <v>17.78956965718454</v>
      </c>
      <c r="FZ9" s="34">
        <f>198400/1000</f>
        <v>198.4</v>
      </c>
      <c r="GA9" s="31"/>
      <c r="GB9" s="31">
        <f t="shared" si="37"/>
        <v>0</v>
      </c>
      <c r="GC9" s="34">
        <v>0</v>
      </c>
      <c r="GD9" s="31">
        <v>0</v>
      </c>
      <c r="GE9" s="31" t="s">
        <v>56</v>
      </c>
      <c r="GF9" s="35">
        <v>0</v>
      </c>
      <c r="GG9" s="31">
        <v>0</v>
      </c>
      <c r="GH9" s="31" t="s">
        <v>56</v>
      </c>
      <c r="GI9" s="35">
        <v>1622.3</v>
      </c>
      <c r="GJ9" s="31">
        <v>335.93239999999997</v>
      </c>
      <c r="GK9" s="31">
        <f t="shared" si="40"/>
        <v>20.707168834370954</v>
      </c>
      <c r="GL9" s="34">
        <v>0</v>
      </c>
      <c r="GM9" s="34">
        <v>0</v>
      </c>
      <c r="GN9" s="31" t="s">
        <v>56</v>
      </c>
      <c r="GO9" s="34">
        <v>0</v>
      </c>
      <c r="GP9" s="31">
        <v>0</v>
      </c>
      <c r="GQ9" s="31" t="s">
        <v>56</v>
      </c>
      <c r="GR9" s="34">
        <f>371900/1000</f>
        <v>371.9</v>
      </c>
      <c r="GS9" s="31">
        <v>28.4</v>
      </c>
      <c r="GT9" s="31">
        <f t="shared" si="70"/>
        <v>7.6364614143586982</v>
      </c>
      <c r="GU9" s="34">
        <v>0</v>
      </c>
      <c r="GV9" s="31">
        <v>0</v>
      </c>
      <c r="GW9" s="31" t="s">
        <v>56</v>
      </c>
      <c r="GX9" s="34">
        <f>113400/1000</f>
        <v>113.4</v>
      </c>
      <c r="GY9" s="31">
        <v>0</v>
      </c>
      <c r="GZ9" s="31">
        <v>0</v>
      </c>
      <c r="HA9" s="31">
        <f>(202000+3521500)/1000</f>
        <v>3723.5</v>
      </c>
      <c r="HB9" s="31">
        <f>778061.73/1000</f>
        <v>778.06173000000001</v>
      </c>
      <c r="HC9" s="36">
        <f t="shared" si="61"/>
        <v>20.895977709144624</v>
      </c>
      <c r="HD9" s="34">
        <f>1082000/1000</f>
        <v>1082</v>
      </c>
      <c r="HE9" s="31">
        <v>270.60000000000002</v>
      </c>
      <c r="HF9" s="31">
        <f t="shared" si="62"/>
        <v>25.009242144177453</v>
      </c>
      <c r="HG9" s="28">
        <f t="shared" si="63"/>
        <v>5401</v>
      </c>
      <c r="HH9" s="28">
        <f t="shared" si="64"/>
        <v>0</v>
      </c>
      <c r="HI9" s="26">
        <f t="shared" si="46"/>
        <v>0</v>
      </c>
      <c r="HJ9" s="37">
        <v>0</v>
      </c>
      <c r="HK9" s="37">
        <v>0</v>
      </c>
      <c r="HL9" s="37" t="s">
        <v>56</v>
      </c>
      <c r="HM9" s="33">
        <v>0</v>
      </c>
      <c r="HN9" s="33">
        <v>0</v>
      </c>
      <c r="HO9" s="33" t="s">
        <v>56</v>
      </c>
      <c r="HP9" s="33">
        <f>2401000/1000</f>
        <v>2401</v>
      </c>
      <c r="HQ9" s="37">
        <v>0</v>
      </c>
      <c r="HR9" s="37">
        <v>0</v>
      </c>
      <c r="HS9" s="37">
        <v>0</v>
      </c>
      <c r="HT9" s="37">
        <v>0</v>
      </c>
      <c r="HU9" s="37" t="s">
        <v>56</v>
      </c>
      <c r="HV9" s="30">
        <f>2970000/1000</f>
        <v>2970</v>
      </c>
      <c r="HW9" s="31">
        <v>0</v>
      </c>
      <c r="HX9" s="31">
        <v>0</v>
      </c>
      <c r="HY9" s="30">
        <v>0</v>
      </c>
      <c r="HZ9" s="31">
        <v>0</v>
      </c>
      <c r="IA9" s="31" t="s">
        <v>56</v>
      </c>
      <c r="IB9" s="31">
        <v>0</v>
      </c>
      <c r="IC9" s="31">
        <v>0</v>
      </c>
      <c r="ID9" s="31" t="s">
        <v>56</v>
      </c>
      <c r="IE9" s="31">
        <f>30000/1000</f>
        <v>30</v>
      </c>
      <c r="IF9" s="31">
        <v>0</v>
      </c>
      <c r="IG9" s="31">
        <v>0</v>
      </c>
      <c r="IH9" s="31">
        <v>0</v>
      </c>
      <c r="II9" s="31">
        <v>0</v>
      </c>
      <c r="IJ9" s="31" t="s">
        <v>56</v>
      </c>
      <c r="IK9" s="31">
        <v>0</v>
      </c>
      <c r="IL9" s="31">
        <v>0</v>
      </c>
      <c r="IM9" s="31" t="s">
        <v>56</v>
      </c>
      <c r="IN9" s="31">
        <v>0</v>
      </c>
      <c r="IO9" s="31">
        <v>0</v>
      </c>
      <c r="IP9" s="31" t="s">
        <v>56</v>
      </c>
      <c r="IQ9" s="31">
        <v>0</v>
      </c>
      <c r="IR9" s="31">
        <v>0</v>
      </c>
      <c r="IS9" s="31" t="s">
        <v>56</v>
      </c>
      <c r="IT9" s="11">
        <f t="shared" si="65"/>
        <v>360089.87771999999</v>
      </c>
      <c r="IU9" s="10">
        <f t="shared" si="66"/>
        <v>53132.256719999998</v>
      </c>
      <c r="IV9" s="10">
        <f t="shared" si="67"/>
        <v>14.755276392777352</v>
      </c>
      <c r="IW9" s="16"/>
      <c r="IX9" s="16"/>
      <c r="IZ9" s="18"/>
    </row>
    <row r="10" spans="1:260" x14ac:dyDescent="0.2">
      <c r="A10" s="13" t="s">
        <v>9</v>
      </c>
      <c r="B10" s="23">
        <f t="shared" si="47"/>
        <v>143488</v>
      </c>
      <c r="C10" s="23">
        <f t="shared" si="48"/>
        <v>88300</v>
      </c>
      <c r="D10" s="24">
        <f t="shared" si="49"/>
        <v>61.538247100802856</v>
      </c>
      <c r="E10" s="30">
        <v>143488</v>
      </c>
      <c r="F10" s="31">
        <v>88300</v>
      </c>
      <c r="G10" s="31">
        <f t="shared" si="50"/>
        <v>61.538247100802856</v>
      </c>
      <c r="H10" s="30">
        <v>0</v>
      </c>
      <c r="I10" s="30">
        <v>0</v>
      </c>
      <c r="J10" s="31" t="s">
        <v>56</v>
      </c>
      <c r="K10" s="31">
        <v>0</v>
      </c>
      <c r="L10" s="31">
        <v>0</v>
      </c>
      <c r="M10" s="31" t="s">
        <v>56</v>
      </c>
      <c r="N10" s="23">
        <f t="shared" si="51"/>
        <v>159438.81389999998</v>
      </c>
      <c r="O10" s="23">
        <f t="shared" si="52"/>
        <v>0</v>
      </c>
      <c r="P10" s="24">
        <f t="shared" si="53"/>
        <v>0</v>
      </c>
      <c r="Q10" s="31">
        <f>12190320/1000</f>
        <v>12190.32</v>
      </c>
      <c r="R10" s="31">
        <v>0</v>
      </c>
      <c r="S10" s="31">
        <f t="shared" si="68"/>
        <v>0</v>
      </c>
      <c r="T10" s="30">
        <v>0</v>
      </c>
      <c r="U10" s="31">
        <v>0</v>
      </c>
      <c r="V10" s="31" t="s">
        <v>56</v>
      </c>
      <c r="W10" s="30">
        <v>2800</v>
      </c>
      <c r="X10" s="31">
        <v>0</v>
      </c>
      <c r="Y10" s="31">
        <f t="shared" si="3"/>
        <v>0</v>
      </c>
      <c r="Z10" s="30">
        <v>0</v>
      </c>
      <c r="AA10" s="31">
        <v>0</v>
      </c>
      <c r="AB10" s="31" t="s">
        <v>56</v>
      </c>
      <c r="AC10" s="30">
        <v>0</v>
      </c>
      <c r="AD10" s="31">
        <v>0</v>
      </c>
      <c r="AE10" s="31" t="s">
        <v>56</v>
      </c>
      <c r="AF10" s="30">
        <v>0</v>
      </c>
      <c r="AG10" s="31">
        <v>0</v>
      </c>
      <c r="AH10" s="31" t="s">
        <v>56</v>
      </c>
      <c r="AI10" s="30">
        <v>0</v>
      </c>
      <c r="AJ10" s="30">
        <v>0</v>
      </c>
      <c r="AK10" s="31" t="s">
        <v>56</v>
      </c>
      <c r="AL10" s="31">
        <f>8227900/1000</f>
        <v>8227.9</v>
      </c>
      <c r="AM10" s="31">
        <v>0</v>
      </c>
      <c r="AN10" s="31">
        <v>0</v>
      </c>
      <c r="AO10" s="31">
        <v>0</v>
      </c>
      <c r="AP10" s="31">
        <v>0</v>
      </c>
      <c r="AQ10" s="31" t="s">
        <v>56</v>
      </c>
      <c r="AR10" s="31">
        <v>0</v>
      </c>
      <c r="AS10" s="31">
        <v>0</v>
      </c>
      <c r="AT10" s="31" t="s">
        <v>56</v>
      </c>
      <c r="AU10" s="31">
        <f>4041034.6/1000</f>
        <v>4041.0346</v>
      </c>
      <c r="AV10" s="31">
        <v>0</v>
      </c>
      <c r="AW10" s="31">
        <v>0</v>
      </c>
      <c r="AX10" s="30">
        <v>0</v>
      </c>
      <c r="AY10" s="31">
        <v>0</v>
      </c>
      <c r="AZ10" s="31" t="s">
        <v>56</v>
      </c>
      <c r="BA10" s="30">
        <v>0</v>
      </c>
      <c r="BB10" s="31">
        <v>0</v>
      </c>
      <c r="BC10" s="31" t="s">
        <v>56</v>
      </c>
      <c r="BD10" s="30">
        <v>0</v>
      </c>
      <c r="BE10" s="31">
        <v>0</v>
      </c>
      <c r="BF10" s="31" t="s">
        <v>56</v>
      </c>
      <c r="BG10" s="30">
        <v>0</v>
      </c>
      <c r="BH10" s="31">
        <v>0</v>
      </c>
      <c r="BI10" s="31" t="s">
        <v>56</v>
      </c>
      <c r="BJ10" s="30">
        <v>0</v>
      </c>
      <c r="BK10" s="31">
        <v>0</v>
      </c>
      <c r="BL10" s="31" t="s">
        <v>56</v>
      </c>
      <c r="BM10" s="30">
        <v>0</v>
      </c>
      <c r="BN10" s="31">
        <v>0</v>
      </c>
      <c r="BO10" s="31" t="s">
        <v>56</v>
      </c>
      <c r="BP10" s="30">
        <v>0</v>
      </c>
      <c r="BQ10" s="31">
        <v>0</v>
      </c>
      <c r="BR10" s="31" t="s">
        <v>56</v>
      </c>
      <c r="BS10" s="30">
        <v>0</v>
      </c>
      <c r="BT10" s="31">
        <v>0</v>
      </c>
      <c r="BU10" s="31" t="s">
        <v>56</v>
      </c>
      <c r="BV10" s="31">
        <v>0</v>
      </c>
      <c r="BW10" s="31">
        <v>0</v>
      </c>
      <c r="BX10" s="31" t="s">
        <v>56</v>
      </c>
      <c r="BY10" s="31">
        <v>0</v>
      </c>
      <c r="BZ10" s="31">
        <v>0</v>
      </c>
      <c r="CA10" s="32" t="s">
        <v>56</v>
      </c>
      <c r="CB10" s="30">
        <v>0</v>
      </c>
      <c r="CC10" s="30">
        <v>0</v>
      </c>
      <c r="CD10" s="33" t="s">
        <v>56</v>
      </c>
      <c r="CE10" s="30">
        <v>0</v>
      </c>
      <c r="CF10" s="30">
        <v>0</v>
      </c>
      <c r="CG10" s="33" t="s">
        <v>56</v>
      </c>
      <c r="CH10" s="33">
        <v>0</v>
      </c>
      <c r="CI10" s="33">
        <v>0</v>
      </c>
      <c r="CJ10" s="33" t="s">
        <v>56</v>
      </c>
      <c r="CK10" s="30">
        <v>0</v>
      </c>
      <c r="CL10" s="30">
        <v>0</v>
      </c>
      <c r="CM10" s="33" t="s">
        <v>56</v>
      </c>
      <c r="CN10" s="30">
        <f>1233584/1000</f>
        <v>1233.5840000000001</v>
      </c>
      <c r="CO10" s="33">
        <v>0</v>
      </c>
      <c r="CP10" s="33">
        <v>0</v>
      </c>
      <c r="CQ10" s="33">
        <v>0</v>
      </c>
      <c r="CR10" s="33">
        <v>0</v>
      </c>
      <c r="CS10" s="33" t="s">
        <v>56</v>
      </c>
      <c r="CT10" s="33">
        <v>0</v>
      </c>
      <c r="CU10" s="33">
        <v>0</v>
      </c>
      <c r="CV10" s="33" t="s">
        <v>56</v>
      </c>
      <c r="CW10" s="33">
        <f>8924479/1000</f>
        <v>8924.4789999999994</v>
      </c>
      <c r="CX10" s="33">
        <v>0</v>
      </c>
      <c r="CY10" s="33">
        <v>0</v>
      </c>
      <c r="CZ10" s="33">
        <f>2035723/1000</f>
        <v>2035.723</v>
      </c>
      <c r="DA10" s="33">
        <v>0</v>
      </c>
      <c r="DB10" s="33">
        <f t="shared" ref="DB10:DB37" si="71">(DA10/CZ10)*100</f>
        <v>0</v>
      </c>
      <c r="DC10" s="33">
        <v>0</v>
      </c>
      <c r="DD10" s="33">
        <v>0</v>
      </c>
      <c r="DE10" s="33" t="s">
        <v>56</v>
      </c>
      <c r="DF10" s="33">
        <v>0</v>
      </c>
      <c r="DG10" s="33">
        <v>0</v>
      </c>
      <c r="DH10" s="33" t="s">
        <v>56</v>
      </c>
      <c r="DI10" s="33">
        <f>24233000/1000</f>
        <v>24233</v>
      </c>
      <c r="DJ10" s="33">
        <v>0</v>
      </c>
      <c r="DK10" s="33">
        <v>0</v>
      </c>
      <c r="DL10" s="33">
        <f>50000/1000</f>
        <v>50</v>
      </c>
      <c r="DM10" s="33">
        <v>0</v>
      </c>
      <c r="DN10" s="33">
        <v>0</v>
      </c>
      <c r="DO10" s="33">
        <v>0</v>
      </c>
      <c r="DP10" s="33">
        <v>0</v>
      </c>
      <c r="DQ10" s="33" t="s">
        <v>56</v>
      </c>
      <c r="DR10" s="33">
        <f>4484000/1000</f>
        <v>4484</v>
      </c>
      <c r="DS10" s="33">
        <v>0</v>
      </c>
      <c r="DT10" s="33">
        <f t="shared" ref="DT10:DT37" si="72">(DS10/DR10)*100</f>
        <v>0</v>
      </c>
      <c r="DU10" s="33">
        <v>0</v>
      </c>
      <c r="DV10" s="33">
        <v>0</v>
      </c>
      <c r="DW10" s="33" t="s">
        <v>56</v>
      </c>
      <c r="DX10" s="30">
        <f>(78446570.3+10000000)/1000</f>
        <v>88446.570299999992</v>
      </c>
      <c r="DY10" s="31">
        <v>0</v>
      </c>
      <c r="DZ10" s="33">
        <f>DY10/DX10%</f>
        <v>0</v>
      </c>
      <c r="EA10" s="30">
        <f>2772203/1000</f>
        <v>2772.203</v>
      </c>
      <c r="EB10" s="31">
        <v>0</v>
      </c>
      <c r="EC10" s="33">
        <f>EB10/EA10%</f>
        <v>0</v>
      </c>
      <c r="ED10" s="23">
        <f t="shared" si="55"/>
        <v>265295.57599999994</v>
      </c>
      <c r="EE10" s="23">
        <f t="shared" si="56"/>
        <v>73272.045110000006</v>
      </c>
      <c r="EF10" s="24">
        <f t="shared" si="57"/>
        <v>27.619022606694362</v>
      </c>
      <c r="EG10" s="34">
        <f>1963300/1000</f>
        <v>1963.3</v>
      </c>
      <c r="EH10" s="34">
        <f>490824/1000</f>
        <v>490.82400000000001</v>
      </c>
      <c r="EI10" s="31">
        <f t="shared" si="26"/>
        <v>24.99994906534916</v>
      </c>
      <c r="EJ10" s="34">
        <v>0</v>
      </c>
      <c r="EK10" s="31">
        <v>0</v>
      </c>
      <c r="EL10" s="31" t="s">
        <v>56</v>
      </c>
      <c r="EM10" s="34">
        <f>1046/1000</f>
        <v>1.046</v>
      </c>
      <c r="EN10" s="31">
        <v>0</v>
      </c>
      <c r="EO10" s="31">
        <f t="shared" si="29"/>
        <v>0</v>
      </c>
      <c r="EP10" s="34">
        <v>66620.5</v>
      </c>
      <c r="EQ10" s="31">
        <v>19416.763999999999</v>
      </c>
      <c r="ER10" s="31">
        <f t="shared" si="58"/>
        <v>29.145329140429745</v>
      </c>
      <c r="ES10" s="31">
        <v>168115.1</v>
      </c>
      <c r="ET10" s="31">
        <v>48150.6</v>
      </c>
      <c r="EU10" s="36">
        <f t="shared" si="59"/>
        <v>28.641448626565964</v>
      </c>
      <c r="EV10" s="34">
        <f>7588400/1000</f>
        <v>7588.4</v>
      </c>
      <c r="EW10" s="33">
        <v>2192.1</v>
      </c>
      <c r="EX10" s="33">
        <f t="shared" si="60"/>
        <v>28.88751251910811</v>
      </c>
      <c r="EY10" s="34">
        <f>2545100/1000</f>
        <v>2545.1</v>
      </c>
      <c r="EZ10" s="31">
        <v>0</v>
      </c>
      <c r="FA10" s="31">
        <f t="shared" si="30"/>
        <v>0</v>
      </c>
      <c r="FB10" s="34">
        <v>0</v>
      </c>
      <c r="FC10" s="31">
        <v>0</v>
      </c>
      <c r="FD10" s="31" t="s">
        <v>56</v>
      </c>
      <c r="FE10" s="34">
        <v>0</v>
      </c>
      <c r="FF10" s="31">
        <v>0</v>
      </c>
      <c r="FG10" s="31" t="s">
        <v>56</v>
      </c>
      <c r="FH10" s="34">
        <f>1470930/1000</f>
        <v>1470.93</v>
      </c>
      <c r="FI10" s="31">
        <f>130210/1000</f>
        <v>130.21</v>
      </c>
      <c r="FJ10" s="31">
        <f t="shared" si="31"/>
        <v>8.8522227434344263</v>
      </c>
      <c r="FK10" s="34">
        <f>175000/1000</f>
        <v>175</v>
      </c>
      <c r="FL10" s="31">
        <v>43.8</v>
      </c>
      <c r="FM10" s="31">
        <f t="shared" si="33"/>
        <v>25.028571428571428</v>
      </c>
      <c r="FN10" s="34">
        <f>1500/1000</f>
        <v>1.5</v>
      </c>
      <c r="FO10" s="31">
        <v>0</v>
      </c>
      <c r="FP10" s="31">
        <f t="shared" si="34"/>
        <v>0</v>
      </c>
      <c r="FQ10" s="34">
        <f>95500/1000</f>
        <v>95.5</v>
      </c>
      <c r="FR10" s="31">
        <v>15.9</v>
      </c>
      <c r="FS10" s="31">
        <f t="shared" si="69"/>
        <v>16.649214659685864</v>
      </c>
      <c r="FT10" s="34">
        <f>3500/1000</f>
        <v>3.5</v>
      </c>
      <c r="FU10" s="31">
        <v>0</v>
      </c>
      <c r="FV10" s="31">
        <f t="shared" ref="FV10:FV34" si="73">FU10/FT10%</f>
        <v>0</v>
      </c>
      <c r="FW10" s="34">
        <f>602800/1000</f>
        <v>602.79999999999995</v>
      </c>
      <c r="FX10" s="31">
        <f>106945/1000</f>
        <v>106.94499999999999</v>
      </c>
      <c r="FY10" s="31">
        <f t="shared" si="36"/>
        <v>17.741373589913735</v>
      </c>
      <c r="FZ10" s="34">
        <f>209900/1000</f>
        <v>209.9</v>
      </c>
      <c r="GA10" s="31">
        <v>62.97</v>
      </c>
      <c r="GB10" s="31">
        <f t="shared" si="37"/>
        <v>29.999999999999996</v>
      </c>
      <c r="GC10" s="34">
        <v>0</v>
      </c>
      <c r="GD10" s="31">
        <v>0</v>
      </c>
      <c r="GE10" s="31" t="s">
        <v>56</v>
      </c>
      <c r="GF10" s="35">
        <v>0</v>
      </c>
      <c r="GG10" s="31">
        <v>0</v>
      </c>
      <c r="GH10" s="31" t="s">
        <v>56</v>
      </c>
      <c r="GI10" s="35">
        <v>1134.9000000000001</v>
      </c>
      <c r="GJ10" s="31">
        <v>278.11725000000001</v>
      </c>
      <c r="GK10" s="31">
        <f t="shared" si="40"/>
        <v>24.505881575469203</v>
      </c>
      <c r="GL10" s="34">
        <v>0</v>
      </c>
      <c r="GM10" s="34">
        <v>0</v>
      </c>
      <c r="GN10" s="31" t="s">
        <v>56</v>
      </c>
      <c r="GO10" s="34">
        <v>0</v>
      </c>
      <c r="GP10" s="31">
        <v>0</v>
      </c>
      <c r="GQ10" s="31" t="s">
        <v>56</v>
      </c>
      <c r="GR10" s="34">
        <f>1568100/1000</f>
        <v>1568.1</v>
      </c>
      <c r="GS10" s="31">
        <v>255</v>
      </c>
      <c r="GT10" s="31">
        <f>GS10/GR10%</f>
        <v>16.2617180026784</v>
      </c>
      <c r="GU10" s="34">
        <f>3150000/1000</f>
        <v>3150</v>
      </c>
      <c r="GV10" s="31">
        <v>0</v>
      </c>
      <c r="GW10" s="31">
        <f t="shared" si="43"/>
        <v>0</v>
      </c>
      <c r="GX10" s="34">
        <f>285400/1000</f>
        <v>285.39999999999998</v>
      </c>
      <c r="GY10" s="31">
        <v>0</v>
      </c>
      <c r="GZ10" s="31">
        <v>0</v>
      </c>
      <c r="HA10" s="31">
        <f>(274600+6891000)/1000</f>
        <v>7165.6</v>
      </c>
      <c r="HB10" s="31">
        <f>1479014.86/1000</f>
        <v>1479.01486</v>
      </c>
      <c r="HC10" s="36">
        <f t="shared" si="61"/>
        <v>20.64048872390309</v>
      </c>
      <c r="HD10" s="34">
        <f>2599000/1000</f>
        <v>2599</v>
      </c>
      <c r="HE10" s="31">
        <v>649.79999999999995</v>
      </c>
      <c r="HF10" s="31">
        <f t="shared" si="62"/>
        <v>25.001923816852635</v>
      </c>
      <c r="HG10" s="28">
        <f t="shared" si="63"/>
        <v>5732.8</v>
      </c>
      <c r="HH10" s="28">
        <f t="shared" si="64"/>
        <v>0</v>
      </c>
      <c r="HI10" s="26">
        <f t="shared" si="46"/>
        <v>0</v>
      </c>
      <c r="HJ10" s="37">
        <v>0</v>
      </c>
      <c r="HK10" s="37">
        <v>0</v>
      </c>
      <c r="HL10" s="37" t="s">
        <v>56</v>
      </c>
      <c r="HM10" s="33">
        <v>0</v>
      </c>
      <c r="HN10" s="33">
        <v>0</v>
      </c>
      <c r="HO10" s="33" t="s">
        <v>56</v>
      </c>
      <c r="HP10" s="33">
        <f>5732800/1000</f>
        <v>5732.8</v>
      </c>
      <c r="HQ10" s="37">
        <v>0</v>
      </c>
      <c r="HR10" s="37">
        <v>0</v>
      </c>
      <c r="HS10" s="37">
        <v>0</v>
      </c>
      <c r="HT10" s="37">
        <v>0</v>
      </c>
      <c r="HU10" s="37" t="s">
        <v>56</v>
      </c>
      <c r="HV10" s="38">
        <v>0</v>
      </c>
      <c r="HW10" s="31">
        <v>0</v>
      </c>
      <c r="HX10" s="31" t="s">
        <v>56</v>
      </c>
      <c r="HY10" s="30">
        <v>0</v>
      </c>
      <c r="HZ10" s="31">
        <v>0</v>
      </c>
      <c r="IA10" s="31" t="s">
        <v>56</v>
      </c>
      <c r="IB10" s="31">
        <v>0</v>
      </c>
      <c r="IC10" s="31">
        <v>0</v>
      </c>
      <c r="ID10" s="31" t="s">
        <v>56</v>
      </c>
      <c r="IE10" s="31">
        <v>0</v>
      </c>
      <c r="IF10" s="31">
        <v>0</v>
      </c>
      <c r="IG10" s="31" t="s">
        <v>56</v>
      </c>
      <c r="IH10" s="31">
        <v>0</v>
      </c>
      <c r="II10" s="31">
        <v>0</v>
      </c>
      <c r="IJ10" s="31" t="s">
        <v>56</v>
      </c>
      <c r="IK10" s="31">
        <v>0</v>
      </c>
      <c r="IL10" s="31">
        <v>0</v>
      </c>
      <c r="IM10" s="31" t="s">
        <v>56</v>
      </c>
      <c r="IN10" s="31">
        <v>0</v>
      </c>
      <c r="IO10" s="31">
        <v>0</v>
      </c>
      <c r="IP10" s="31" t="s">
        <v>56</v>
      </c>
      <c r="IQ10" s="31">
        <v>0</v>
      </c>
      <c r="IR10" s="31">
        <v>0</v>
      </c>
      <c r="IS10" s="31" t="s">
        <v>56</v>
      </c>
      <c r="IT10" s="11">
        <f t="shared" si="65"/>
        <v>573955.18989999988</v>
      </c>
      <c r="IU10" s="10">
        <f t="shared" si="66"/>
        <v>161572.04511000001</v>
      </c>
      <c r="IV10" s="10">
        <f t="shared" si="67"/>
        <v>28.150637532897065</v>
      </c>
      <c r="IW10" s="16"/>
      <c r="IX10" s="16"/>
      <c r="IZ10" s="18"/>
    </row>
    <row r="11" spans="1:260" x14ac:dyDescent="0.2">
      <c r="A11" s="13" t="s">
        <v>10</v>
      </c>
      <c r="B11" s="23">
        <f t="shared" si="47"/>
        <v>151836</v>
      </c>
      <c r="C11" s="23">
        <f t="shared" si="48"/>
        <v>69097.7</v>
      </c>
      <c r="D11" s="24">
        <f t="shared" si="49"/>
        <v>45.508114017755993</v>
      </c>
      <c r="E11" s="30">
        <v>151836</v>
      </c>
      <c r="F11" s="31">
        <v>69097.7</v>
      </c>
      <c r="G11" s="31">
        <f t="shared" si="50"/>
        <v>45.508114017755993</v>
      </c>
      <c r="H11" s="30">
        <v>0</v>
      </c>
      <c r="I11" s="30">
        <v>0</v>
      </c>
      <c r="J11" s="31" t="s">
        <v>56</v>
      </c>
      <c r="K11" s="31">
        <v>0</v>
      </c>
      <c r="L11" s="31">
        <v>0</v>
      </c>
      <c r="M11" s="31" t="s">
        <v>56</v>
      </c>
      <c r="N11" s="23">
        <f t="shared" si="51"/>
        <v>185556.10247000001</v>
      </c>
      <c r="O11" s="23">
        <f t="shared" si="52"/>
        <v>152.30000000000001</v>
      </c>
      <c r="P11" s="24">
        <f t="shared" si="53"/>
        <v>8.2077602392313279E-2</v>
      </c>
      <c r="Q11" s="31">
        <f>14222040/1000</f>
        <v>14222.04</v>
      </c>
      <c r="R11" s="31">
        <v>0</v>
      </c>
      <c r="S11" s="31">
        <f t="shared" si="68"/>
        <v>0</v>
      </c>
      <c r="T11" s="30">
        <v>0</v>
      </c>
      <c r="U11" s="31">
        <v>0</v>
      </c>
      <c r="V11" s="31" t="s">
        <v>56</v>
      </c>
      <c r="W11" s="30">
        <f>4721704.17/1000</f>
        <v>4721.70417</v>
      </c>
      <c r="X11" s="31">
        <v>0</v>
      </c>
      <c r="Y11" s="31">
        <v>0</v>
      </c>
      <c r="Z11" s="30">
        <f>2040428.57/1000</f>
        <v>2040.42857</v>
      </c>
      <c r="AA11" s="31">
        <v>0</v>
      </c>
      <c r="AB11" s="31">
        <f t="shared" si="5"/>
        <v>0</v>
      </c>
      <c r="AC11" s="30">
        <v>0</v>
      </c>
      <c r="AD11" s="31">
        <v>0</v>
      </c>
      <c r="AE11" s="31" t="s">
        <v>56</v>
      </c>
      <c r="AF11" s="30">
        <v>0</v>
      </c>
      <c r="AG11" s="31">
        <v>0</v>
      </c>
      <c r="AH11" s="31" t="s">
        <v>56</v>
      </c>
      <c r="AI11" s="30">
        <v>0</v>
      </c>
      <c r="AJ11" s="30">
        <v>0</v>
      </c>
      <c r="AK11" s="31" t="s">
        <v>56</v>
      </c>
      <c r="AL11" s="31">
        <f>4743600/1000</f>
        <v>4743.6000000000004</v>
      </c>
      <c r="AM11" s="31">
        <v>0</v>
      </c>
      <c r="AN11" s="31">
        <v>0</v>
      </c>
      <c r="AO11" s="31">
        <v>0</v>
      </c>
      <c r="AP11" s="31">
        <v>0</v>
      </c>
      <c r="AQ11" s="31" t="s">
        <v>56</v>
      </c>
      <c r="AR11" s="31">
        <v>0</v>
      </c>
      <c r="AS11" s="31">
        <v>0</v>
      </c>
      <c r="AT11" s="31" t="s">
        <v>56</v>
      </c>
      <c r="AU11" s="31">
        <v>0</v>
      </c>
      <c r="AV11" s="31">
        <v>0</v>
      </c>
      <c r="AW11" s="31" t="s">
        <v>56</v>
      </c>
      <c r="AX11" s="30">
        <v>0</v>
      </c>
      <c r="AY11" s="31">
        <v>0</v>
      </c>
      <c r="AZ11" s="31" t="s">
        <v>56</v>
      </c>
      <c r="BA11" s="30">
        <v>0</v>
      </c>
      <c r="BB11" s="31">
        <v>0</v>
      </c>
      <c r="BC11" s="31" t="s">
        <v>56</v>
      </c>
      <c r="BD11" s="30">
        <f>111838.03/1000</f>
        <v>111.83803</v>
      </c>
      <c r="BE11" s="31">
        <v>0</v>
      </c>
      <c r="BF11" s="31">
        <v>0</v>
      </c>
      <c r="BG11" s="30">
        <f>100000/1000</f>
        <v>100</v>
      </c>
      <c r="BH11" s="31">
        <v>0</v>
      </c>
      <c r="BI11" s="31">
        <v>0</v>
      </c>
      <c r="BJ11" s="30">
        <v>0</v>
      </c>
      <c r="BK11" s="31">
        <v>0</v>
      </c>
      <c r="BL11" s="31" t="s">
        <v>56</v>
      </c>
      <c r="BM11" s="30">
        <v>0</v>
      </c>
      <c r="BN11" s="31">
        <v>0</v>
      </c>
      <c r="BO11" s="31" t="s">
        <v>56</v>
      </c>
      <c r="BP11" s="30">
        <v>0</v>
      </c>
      <c r="BQ11" s="31">
        <v>0</v>
      </c>
      <c r="BR11" s="31" t="s">
        <v>56</v>
      </c>
      <c r="BS11" s="30">
        <v>0</v>
      </c>
      <c r="BT11" s="31">
        <v>0</v>
      </c>
      <c r="BU11" s="31" t="s">
        <v>56</v>
      </c>
      <c r="BV11" s="31">
        <v>0</v>
      </c>
      <c r="BW11" s="31">
        <v>0</v>
      </c>
      <c r="BX11" s="31" t="s">
        <v>56</v>
      </c>
      <c r="BY11" s="31">
        <v>1464.5</v>
      </c>
      <c r="BZ11" s="31">
        <v>152.30000000000001</v>
      </c>
      <c r="CA11" s="32">
        <f t="shared" si="54"/>
        <v>10.399453738477296</v>
      </c>
      <c r="CB11" s="30">
        <v>0</v>
      </c>
      <c r="CC11" s="30">
        <v>0</v>
      </c>
      <c r="CD11" s="33" t="s">
        <v>56</v>
      </c>
      <c r="CE11" s="30">
        <v>0</v>
      </c>
      <c r="CF11" s="30">
        <v>0</v>
      </c>
      <c r="CG11" s="33" t="s">
        <v>56</v>
      </c>
      <c r="CH11" s="33">
        <v>0</v>
      </c>
      <c r="CI11" s="33">
        <v>0</v>
      </c>
      <c r="CJ11" s="33" t="s">
        <v>56</v>
      </c>
      <c r="CK11" s="30">
        <v>0</v>
      </c>
      <c r="CL11" s="30">
        <v>0</v>
      </c>
      <c r="CM11" s="33" t="s">
        <v>56</v>
      </c>
      <c r="CN11" s="30">
        <f>3026400/1000</f>
        <v>3026.4</v>
      </c>
      <c r="CO11" s="33">
        <v>0</v>
      </c>
      <c r="CP11" s="33">
        <v>0</v>
      </c>
      <c r="CQ11" s="33">
        <f>421755.7/1000</f>
        <v>421.75569999999999</v>
      </c>
      <c r="CR11" s="33">
        <v>0</v>
      </c>
      <c r="CS11" s="33">
        <v>0</v>
      </c>
      <c r="CT11" s="33">
        <f>72700/1000</f>
        <v>72.7</v>
      </c>
      <c r="CU11" s="33">
        <v>0</v>
      </c>
      <c r="CV11" s="33">
        <v>0</v>
      </c>
      <c r="CW11" s="33">
        <f>18965761/1000</f>
        <v>18965.760999999999</v>
      </c>
      <c r="CX11" s="33">
        <v>0</v>
      </c>
      <c r="CY11" s="33">
        <v>0</v>
      </c>
      <c r="CZ11" s="33">
        <f>2035723/1000</f>
        <v>2035.723</v>
      </c>
      <c r="DA11" s="33">
        <v>0</v>
      </c>
      <c r="DB11" s="33">
        <f t="shared" si="71"/>
        <v>0</v>
      </c>
      <c r="DC11" s="33">
        <v>0</v>
      </c>
      <c r="DD11" s="33">
        <v>0</v>
      </c>
      <c r="DE11" s="33" t="s">
        <v>56</v>
      </c>
      <c r="DF11" s="33">
        <v>0</v>
      </c>
      <c r="DG11" s="33">
        <v>0</v>
      </c>
      <c r="DH11" s="33" t="s">
        <v>56</v>
      </c>
      <c r="DI11" s="33">
        <f>32960600/1000</f>
        <v>32960.6</v>
      </c>
      <c r="DJ11" s="33">
        <v>0</v>
      </c>
      <c r="DK11" s="33">
        <v>0</v>
      </c>
      <c r="DL11" s="33">
        <v>0</v>
      </c>
      <c r="DM11" s="33">
        <v>0</v>
      </c>
      <c r="DN11" s="33" t="s">
        <v>56</v>
      </c>
      <c r="DO11" s="33">
        <v>0</v>
      </c>
      <c r="DP11" s="33">
        <v>0</v>
      </c>
      <c r="DQ11" s="33" t="s">
        <v>56</v>
      </c>
      <c r="DR11" s="33">
        <f>5432200/1000</f>
        <v>5432.2</v>
      </c>
      <c r="DS11" s="33">
        <v>0</v>
      </c>
      <c r="DT11" s="33">
        <f t="shared" si="72"/>
        <v>0</v>
      </c>
      <c r="DU11" s="33">
        <v>0</v>
      </c>
      <c r="DV11" s="33">
        <v>0</v>
      </c>
      <c r="DW11" s="33" t="s">
        <v>56</v>
      </c>
      <c r="DX11" s="30">
        <f>92112350/1000</f>
        <v>92112.35</v>
      </c>
      <c r="DY11" s="31">
        <v>0</v>
      </c>
      <c r="DZ11" s="33">
        <v>0</v>
      </c>
      <c r="EA11" s="30">
        <f>3124502/1000</f>
        <v>3124.502</v>
      </c>
      <c r="EB11" s="31">
        <v>0</v>
      </c>
      <c r="EC11" s="33">
        <f t="shared" ref="EC11" si="74">EB11/EA11%</f>
        <v>0</v>
      </c>
      <c r="ED11" s="23">
        <f t="shared" si="55"/>
        <v>517769.01500000007</v>
      </c>
      <c r="EE11" s="23">
        <f t="shared" si="56"/>
        <v>138849.42719999995</v>
      </c>
      <c r="EF11" s="24">
        <f t="shared" si="57"/>
        <v>26.816866822360918</v>
      </c>
      <c r="EG11" s="34">
        <f>5285700/1000</f>
        <v>5285.7</v>
      </c>
      <c r="EH11" s="34">
        <f>1187.6</f>
        <v>1187.5999999999999</v>
      </c>
      <c r="EI11" s="31">
        <f t="shared" si="26"/>
        <v>22.468168832888736</v>
      </c>
      <c r="EJ11" s="34">
        <f>114100/1000</f>
        <v>114.1</v>
      </c>
      <c r="EK11" s="31">
        <v>0</v>
      </c>
      <c r="EL11" s="31">
        <f t="shared" si="28"/>
        <v>0</v>
      </c>
      <c r="EM11" s="34">
        <f>2665/1000</f>
        <v>2.665</v>
      </c>
      <c r="EN11" s="31">
        <v>0</v>
      </c>
      <c r="EO11" s="31">
        <f t="shared" si="29"/>
        <v>0</v>
      </c>
      <c r="EP11" s="34">
        <v>135789.9</v>
      </c>
      <c r="EQ11" s="31">
        <v>40834.972999999998</v>
      </c>
      <c r="ER11" s="31">
        <f t="shared" si="58"/>
        <v>30.072172525349824</v>
      </c>
      <c r="ES11" s="31">
        <v>327523.5</v>
      </c>
      <c r="ET11" s="31">
        <v>85320</v>
      </c>
      <c r="EU11" s="36">
        <f t="shared" si="59"/>
        <v>26.050039157495569</v>
      </c>
      <c r="EV11" s="34">
        <f>9988700/1000</f>
        <v>9988.7000000000007</v>
      </c>
      <c r="EW11" s="33">
        <v>2273.6999999999998</v>
      </c>
      <c r="EX11" s="33">
        <f t="shared" si="60"/>
        <v>22.76272187571956</v>
      </c>
      <c r="EY11" s="34">
        <f>2602300/1000</f>
        <v>2602.3000000000002</v>
      </c>
      <c r="EZ11" s="31">
        <v>0</v>
      </c>
      <c r="FA11" s="31">
        <f t="shared" si="30"/>
        <v>0</v>
      </c>
      <c r="FB11" s="34">
        <f>802700/1000</f>
        <v>802.7</v>
      </c>
      <c r="FC11" s="31">
        <v>0</v>
      </c>
      <c r="FD11" s="31">
        <v>0</v>
      </c>
      <c r="FE11" s="34">
        <v>0</v>
      </c>
      <c r="FF11" s="31">
        <v>0</v>
      </c>
      <c r="FG11" s="31" t="s">
        <v>56</v>
      </c>
      <c r="FH11" s="34">
        <f>2818250/1000</f>
        <v>2818.25</v>
      </c>
      <c r="FI11" s="31">
        <f>1784180.33/1000</f>
        <v>1784.1803300000001</v>
      </c>
      <c r="FJ11" s="31">
        <f t="shared" si="31"/>
        <v>63.308092965492776</v>
      </c>
      <c r="FK11" s="34">
        <f>297500/1000</f>
        <v>297.5</v>
      </c>
      <c r="FL11" s="31">
        <v>74.400000000000006</v>
      </c>
      <c r="FM11" s="31">
        <f t="shared" si="33"/>
        <v>25.008403361344538</v>
      </c>
      <c r="FN11" s="34">
        <f>14900/1000</f>
        <v>14.9</v>
      </c>
      <c r="FO11" s="31">
        <v>0</v>
      </c>
      <c r="FP11" s="31">
        <f t="shared" si="34"/>
        <v>0</v>
      </c>
      <c r="FQ11" s="34">
        <f>95500/1000</f>
        <v>95.5</v>
      </c>
      <c r="FR11" s="31">
        <v>24</v>
      </c>
      <c r="FS11" s="31">
        <f t="shared" si="69"/>
        <v>25.130890052356023</v>
      </c>
      <c r="FT11" s="34">
        <v>0</v>
      </c>
      <c r="FU11" s="31">
        <v>0</v>
      </c>
      <c r="FV11" s="31" t="s">
        <v>56</v>
      </c>
      <c r="FW11" s="34">
        <f>654900/1000</f>
        <v>654.9</v>
      </c>
      <c r="FX11" s="31">
        <f>106702/1000</f>
        <v>106.702</v>
      </c>
      <c r="FY11" s="31">
        <f t="shared" si="36"/>
        <v>16.292869140326768</v>
      </c>
      <c r="FZ11" s="34">
        <f>443100/1000</f>
        <v>443.1</v>
      </c>
      <c r="GA11" s="31">
        <f>83531/1000</f>
        <v>83.531000000000006</v>
      </c>
      <c r="GB11" s="31">
        <f t="shared" si="37"/>
        <v>18.851500789889418</v>
      </c>
      <c r="GC11" s="34">
        <v>0</v>
      </c>
      <c r="GD11" s="31">
        <v>0</v>
      </c>
      <c r="GE11" s="31" t="s">
        <v>56</v>
      </c>
      <c r="GF11" s="35">
        <v>0</v>
      </c>
      <c r="GG11" s="31">
        <v>0</v>
      </c>
      <c r="GH11" s="31" t="s">
        <v>56</v>
      </c>
      <c r="GI11" s="35">
        <v>2728.3</v>
      </c>
      <c r="GJ11" s="31">
        <v>634.56445999999983</v>
      </c>
      <c r="GK11" s="31">
        <f t="shared" si="40"/>
        <v>23.258602792947983</v>
      </c>
      <c r="GL11" s="34">
        <v>0</v>
      </c>
      <c r="GM11" s="34">
        <v>0</v>
      </c>
      <c r="GN11" s="31" t="s">
        <v>56</v>
      </c>
      <c r="GO11" s="34">
        <f>399200/1000</f>
        <v>399.2</v>
      </c>
      <c r="GP11" s="31">
        <f>99786/1000</f>
        <v>99.786000000000001</v>
      </c>
      <c r="GQ11" s="31">
        <f t="shared" si="42"/>
        <v>24.996492985971944</v>
      </c>
      <c r="GR11" s="34">
        <f>1910900/1000</f>
        <v>1910.9</v>
      </c>
      <c r="GS11" s="31">
        <v>270</v>
      </c>
      <c r="GT11" s="31">
        <f>GS11/GR11%</f>
        <v>14.129467790046574</v>
      </c>
      <c r="GU11" s="34">
        <v>0</v>
      </c>
      <c r="GV11" s="31">
        <v>0</v>
      </c>
      <c r="GW11" s="31" t="s">
        <v>56</v>
      </c>
      <c r="GX11" s="34">
        <f>616900/1000</f>
        <v>616.9</v>
      </c>
      <c r="GY11" s="31">
        <v>0</v>
      </c>
      <c r="GZ11" s="31">
        <v>0</v>
      </c>
      <c r="HA11" s="31">
        <f>(532100+18121900)/1000</f>
        <v>18654</v>
      </c>
      <c r="HB11" s="31">
        <f>4399490.41/1000</f>
        <v>4399.4904100000003</v>
      </c>
      <c r="HC11" s="36">
        <f t="shared" si="61"/>
        <v>23.584702530288411</v>
      </c>
      <c r="HD11" s="34">
        <f>7026000/1000</f>
        <v>7026</v>
      </c>
      <c r="HE11" s="31">
        <v>1756.5</v>
      </c>
      <c r="HF11" s="31">
        <f t="shared" si="62"/>
        <v>25</v>
      </c>
      <c r="HG11" s="28">
        <f t="shared" si="63"/>
        <v>18438</v>
      </c>
      <c r="HH11" s="28">
        <f t="shared" si="64"/>
        <v>0</v>
      </c>
      <c r="HI11" s="26">
        <f t="shared" si="46"/>
        <v>0</v>
      </c>
      <c r="HJ11" s="37">
        <v>0</v>
      </c>
      <c r="HK11" s="37">
        <v>0</v>
      </c>
      <c r="HL11" s="37" t="s">
        <v>56</v>
      </c>
      <c r="HM11" s="33">
        <v>0</v>
      </c>
      <c r="HN11" s="33">
        <v>0</v>
      </c>
      <c r="HO11" s="33" t="s">
        <v>56</v>
      </c>
      <c r="HP11" s="33">
        <f>15438000/1000</f>
        <v>15438</v>
      </c>
      <c r="HQ11" s="37">
        <v>0</v>
      </c>
      <c r="HR11" s="37">
        <v>0</v>
      </c>
      <c r="HS11" s="37">
        <v>0</v>
      </c>
      <c r="HT11" s="37">
        <v>0</v>
      </c>
      <c r="HU11" s="37" t="s">
        <v>56</v>
      </c>
      <c r="HV11" s="30">
        <f>2970000/1000</f>
        <v>2970</v>
      </c>
      <c r="HW11" s="31">
        <v>0</v>
      </c>
      <c r="HX11" s="31">
        <v>0</v>
      </c>
      <c r="HY11" s="30">
        <v>0</v>
      </c>
      <c r="HZ11" s="31">
        <v>0</v>
      </c>
      <c r="IA11" s="31" t="s">
        <v>56</v>
      </c>
      <c r="IB11" s="31">
        <v>0</v>
      </c>
      <c r="IC11" s="31">
        <v>0</v>
      </c>
      <c r="ID11" s="31" t="s">
        <v>56</v>
      </c>
      <c r="IE11" s="31">
        <f>30000/1000</f>
        <v>30</v>
      </c>
      <c r="IF11" s="31">
        <v>0</v>
      </c>
      <c r="IG11" s="31">
        <v>0</v>
      </c>
      <c r="IH11" s="31">
        <v>0</v>
      </c>
      <c r="II11" s="31">
        <v>0</v>
      </c>
      <c r="IJ11" s="31" t="s">
        <v>56</v>
      </c>
      <c r="IK11" s="31">
        <v>0</v>
      </c>
      <c r="IL11" s="31">
        <v>0</v>
      </c>
      <c r="IM11" s="31" t="s">
        <v>56</v>
      </c>
      <c r="IN11" s="31">
        <v>0</v>
      </c>
      <c r="IO11" s="31">
        <v>0</v>
      </c>
      <c r="IP11" s="31" t="s">
        <v>56</v>
      </c>
      <c r="IQ11" s="31">
        <v>0</v>
      </c>
      <c r="IR11" s="31">
        <v>0</v>
      </c>
      <c r="IS11" s="31" t="s">
        <v>56</v>
      </c>
      <c r="IT11" s="11">
        <f t="shared" si="65"/>
        <v>873599.11747000017</v>
      </c>
      <c r="IU11" s="10">
        <f t="shared" si="66"/>
        <v>208099.42719999995</v>
      </c>
      <c r="IV11" s="10">
        <f t="shared" si="67"/>
        <v>23.820929192633507</v>
      </c>
      <c r="IW11" s="16"/>
      <c r="IX11" s="16"/>
      <c r="IZ11" s="18"/>
    </row>
    <row r="12" spans="1:260" x14ac:dyDescent="0.2">
      <c r="A12" s="13" t="s">
        <v>13</v>
      </c>
      <c r="B12" s="23">
        <f t="shared" si="47"/>
        <v>50548</v>
      </c>
      <c r="C12" s="23">
        <f t="shared" si="48"/>
        <v>4212.3</v>
      </c>
      <c r="D12" s="24">
        <f t="shared" si="49"/>
        <v>8.3332673894120433</v>
      </c>
      <c r="E12" s="30">
        <v>50548</v>
      </c>
      <c r="F12" s="31">
        <v>4212.3</v>
      </c>
      <c r="G12" s="31">
        <f t="shared" si="50"/>
        <v>8.3332673894120433</v>
      </c>
      <c r="H12" s="30">
        <v>0</v>
      </c>
      <c r="I12" s="30">
        <v>0</v>
      </c>
      <c r="J12" s="31" t="s">
        <v>56</v>
      </c>
      <c r="K12" s="31">
        <v>0</v>
      </c>
      <c r="L12" s="31">
        <v>0</v>
      </c>
      <c r="M12" s="31" t="s">
        <v>56</v>
      </c>
      <c r="N12" s="23">
        <f t="shared" si="51"/>
        <v>23364.50315</v>
      </c>
      <c r="O12" s="23">
        <f t="shared" si="52"/>
        <v>0</v>
      </c>
      <c r="P12" s="24">
        <f t="shared" si="53"/>
        <v>0</v>
      </c>
      <c r="Q12" s="31">
        <f>16253760/1000</f>
        <v>16253.76</v>
      </c>
      <c r="R12" s="31">
        <v>0</v>
      </c>
      <c r="S12" s="31">
        <f t="shared" si="68"/>
        <v>0</v>
      </c>
      <c r="T12" s="30">
        <v>0</v>
      </c>
      <c r="U12" s="31">
        <v>0</v>
      </c>
      <c r="V12" s="31" t="s">
        <v>56</v>
      </c>
      <c r="W12" s="30">
        <v>0</v>
      </c>
      <c r="X12" s="31">
        <v>0</v>
      </c>
      <c r="Y12" s="31" t="s">
        <v>56</v>
      </c>
      <c r="Z12" s="30">
        <v>0</v>
      </c>
      <c r="AA12" s="31">
        <v>0</v>
      </c>
      <c r="AB12" s="31" t="s">
        <v>56</v>
      </c>
      <c r="AC12" s="30">
        <v>0</v>
      </c>
      <c r="AD12" s="31">
        <v>0</v>
      </c>
      <c r="AE12" s="31" t="s">
        <v>56</v>
      </c>
      <c r="AF12" s="30">
        <v>0</v>
      </c>
      <c r="AG12" s="31">
        <v>0</v>
      </c>
      <c r="AH12" s="31" t="s">
        <v>56</v>
      </c>
      <c r="AI12" s="30">
        <v>0</v>
      </c>
      <c r="AJ12" s="30">
        <v>0</v>
      </c>
      <c r="AK12" s="31" t="s">
        <v>56</v>
      </c>
      <c r="AL12" s="31">
        <f>77900/1000</f>
        <v>77.900000000000006</v>
      </c>
      <c r="AM12" s="31">
        <v>0</v>
      </c>
      <c r="AN12" s="31">
        <v>0</v>
      </c>
      <c r="AO12" s="31">
        <v>0</v>
      </c>
      <c r="AP12" s="31">
        <v>0</v>
      </c>
      <c r="AQ12" s="31" t="s">
        <v>56</v>
      </c>
      <c r="AR12" s="31">
        <v>0</v>
      </c>
      <c r="AS12" s="31">
        <v>0</v>
      </c>
      <c r="AT12" s="31" t="s">
        <v>56</v>
      </c>
      <c r="AU12" s="31">
        <f>4026589.71/1000</f>
        <v>4026.5897099999997</v>
      </c>
      <c r="AV12" s="31">
        <v>0</v>
      </c>
      <c r="AW12" s="31">
        <v>0</v>
      </c>
      <c r="AX12" s="30">
        <v>0</v>
      </c>
      <c r="AY12" s="31">
        <v>0</v>
      </c>
      <c r="AZ12" s="31" t="s">
        <v>56</v>
      </c>
      <c r="BA12" s="30">
        <v>0</v>
      </c>
      <c r="BB12" s="31">
        <v>0</v>
      </c>
      <c r="BC12" s="31" t="s">
        <v>56</v>
      </c>
      <c r="BD12" s="30">
        <f>145389.44/1000</f>
        <v>145.38944000000001</v>
      </c>
      <c r="BE12" s="31">
        <v>0</v>
      </c>
      <c r="BF12" s="31">
        <v>0</v>
      </c>
      <c r="BG12" s="30">
        <v>0</v>
      </c>
      <c r="BH12" s="31">
        <v>0</v>
      </c>
      <c r="BI12" s="31" t="s">
        <v>56</v>
      </c>
      <c r="BJ12" s="30">
        <v>0</v>
      </c>
      <c r="BK12" s="31">
        <v>0</v>
      </c>
      <c r="BL12" s="31" t="s">
        <v>56</v>
      </c>
      <c r="BM12" s="30">
        <v>0</v>
      </c>
      <c r="BN12" s="31">
        <v>0</v>
      </c>
      <c r="BO12" s="31" t="s">
        <v>56</v>
      </c>
      <c r="BP12" s="30">
        <v>0</v>
      </c>
      <c r="BQ12" s="31">
        <v>0</v>
      </c>
      <c r="BR12" s="31" t="s">
        <v>56</v>
      </c>
      <c r="BS12" s="30">
        <v>0</v>
      </c>
      <c r="BT12" s="31">
        <v>0</v>
      </c>
      <c r="BU12" s="31" t="s">
        <v>56</v>
      </c>
      <c r="BV12" s="31">
        <v>0</v>
      </c>
      <c r="BW12" s="31">
        <v>0</v>
      </c>
      <c r="BX12" s="31" t="s">
        <v>56</v>
      </c>
      <c r="BY12" s="31">
        <v>0</v>
      </c>
      <c r="BZ12" s="31">
        <v>0</v>
      </c>
      <c r="CA12" s="32" t="s">
        <v>56</v>
      </c>
      <c r="CB12" s="30">
        <v>0</v>
      </c>
      <c r="CC12" s="30">
        <v>0</v>
      </c>
      <c r="CD12" s="33" t="s">
        <v>56</v>
      </c>
      <c r="CE12" s="30">
        <v>0</v>
      </c>
      <c r="CF12" s="30">
        <v>0</v>
      </c>
      <c r="CG12" s="33" t="s">
        <v>56</v>
      </c>
      <c r="CH12" s="33">
        <v>0</v>
      </c>
      <c r="CI12" s="33">
        <v>0</v>
      </c>
      <c r="CJ12" s="33" t="s">
        <v>56</v>
      </c>
      <c r="CK12" s="30">
        <v>0</v>
      </c>
      <c r="CL12" s="30">
        <v>0</v>
      </c>
      <c r="CM12" s="33" t="s">
        <v>56</v>
      </c>
      <c r="CN12" s="30">
        <v>0</v>
      </c>
      <c r="CO12" s="33">
        <v>0</v>
      </c>
      <c r="CP12" s="33" t="s">
        <v>56</v>
      </c>
      <c r="CQ12" s="33">
        <v>0</v>
      </c>
      <c r="CR12" s="33">
        <v>0</v>
      </c>
      <c r="CS12" s="33" t="s">
        <v>56</v>
      </c>
      <c r="CT12" s="33">
        <v>0</v>
      </c>
      <c r="CU12" s="33">
        <v>0</v>
      </c>
      <c r="CV12" s="33" t="s">
        <v>56</v>
      </c>
      <c r="CW12" s="33">
        <f>965864/1000</f>
        <v>965.86400000000003</v>
      </c>
      <c r="CX12" s="33">
        <v>0</v>
      </c>
      <c r="CY12" s="33">
        <v>0</v>
      </c>
      <c r="CZ12" s="33">
        <v>0</v>
      </c>
      <c r="DA12" s="33">
        <v>0</v>
      </c>
      <c r="DB12" s="33" t="s">
        <v>56</v>
      </c>
      <c r="DC12" s="33">
        <f>1595000/1000</f>
        <v>1595</v>
      </c>
      <c r="DD12" s="33">
        <v>0</v>
      </c>
      <c r="DE12" s="33">
        <v>0</v>
      </c>
      <c r="DF12" s="33">
        <v>0</v>
      </c>
      <c r="DG12" s="33">
        <v>0</v>
      </c>
      <c r="DH12" s="33" t="s">
        <v>56</v>
      </c>
      <c r="DI12" s="33">
        <v>0</v>
      </c>
      <c r="DJ12" s="33">
        <v>0</v>
      </c>
      <c r="DK12" s="33" t="s">
        <v>56</v>
      </c>
      <c r="DL12" s="33">
        <f>300000/1000</f>
        <v>300</v>
      </c>
      <c r="DM12" s="33">
        <v>0</v>
      </c>
      <c r="DN12" s="33">
        <v>0</v>
      </c>
      <c r="DO12" s="33">
        <v>0</v>
      </c>
      <c r="DP12" s="33">
        <v>0</v>
      </c>
      <c r="DQ12" s="33" t="s">
        <v>56</v>
      </c>
      <c r="DR12" s="33">
        <v>0</v>
      </c>
      <c r="DS12" s="33">
        <v>0</v>
      </c>
      <c r="DT12" s="33" t="s">
        <v>56</v>
      </c>
      <c r="DU12" s="33">
        <v>0</v>
      </c>
      <c r="DV12" s="33">
        <v>0</v>
      </c>
      <c r="DW12" s="33" t="s">
        <v>56</v>
      </c>
      <c r="DX12" s="30">
        <v>0</v>
      </c>
      <c r="DY12" s="31">
        <v>0</v>
      </c>
      <c r="DZ12" s="33" t="s">
        <v>56</v>
      </c>
      <c r="EA12" s="30">
        <v>0</v>
      </c>
      <c r="EB12" s="31">
        <v>0</v>
      </c>
      <c r="EC12" s="33" t="s">
        <v>56</v>
      </c>
      <c r="ED12" s="23">
        <f t="shared" si="55"/>
        <v>184706.60000000003</v>
      </c>
      <c r="EE12" s="23">
        <f t="shared" si="56"/>
        <v>46205.54020000001</v>
      </c>
      <c r="EF12" s="24">
        <f t="shared" si="57"/>
        <v>25.015641130311533</v>
      </c>
      <c r="EG12" s="34">
        <f>1067400/1000</f>
        <v>1067.4000000000001</v>
      </c>
      <c r="EH12" s="34">
        <v>159.1</v>
      </c>
      <c r="EI12" s="31">
        <f t="shared" si="26"/>
        <v>14.905377552932357</v>
      </c>
      <c r="EJ12" s="34">
        <v>0</v>
      </c>
      <c r="EK12" s="31">
        <v>0</v>
      </c>
      <c r="EL12" s="31" t="s">
        <v>56</v>
      </c>
      <c r="EM12" s="34">
        <v>0</v>
      </c>
      <c r="EN12" s="31">
        <v>0</v>
      </c>
      <c r="EO12" s="31" t="s">
        <v>56</v>
      </c>
      <c r="EP12" s="34">
        <v>49762.9</v>
      </c>
      <c r="EQ12" s="31">
        <v>10592.512000000001</v>
      </c>
      <c r="ER12" s="31">
        <f t="shared" si="58"/>
        <v>21.285962031955535</v>
      </c>
      <c r="ES12" s="31">
        <v>114378.2</v>
      </c>
      <c r="ET12" s="31">
        <v>30949.7</v>
      </c>
      <c r="EU12" s="36">
        <f t="shared" si="59"/>
        <v>27.059089931472958</v>
      </c>
      <c r="EV12" s="34">
        <f>8845200/1000</f>
        <v>8845.2000000000007</v>
      </c>
      <c r="EW12" s="33">
        <v>2574</v>
      </c>
      <c r="EX12" s="33">
        <f t="shared" si="60"/>
        <v>29.100529100529098</v>
      </c>
      <c r="EY12" s="34">
        <f>1689200/1000</f>
        <v>1689.2</v>
      </c>
      <c r="EZ12" s="31">
        <v>0</v>
      </c>
      <c r="FA12" s="31">
        <f t="shared" si="30"/>
        <v>0</v>
      </c>
      <c r="FB12" s="34">
        <v>0</v>
      </c>
      <c r="FC12" s="31">
        <v>0</v>
      </c>
      <c r="FD12" s="31" t="s">
        <v>56</v>
      </c>
      <c r="FE12" s="34">
        <f>22100/1000</f>
        <v>22.1</v>
      </c>
      <c r="FF12" s="31">
        <v>0</v>
      </c>
      <c r="FG12" s="31">
        <v>0</v>
      </c>
      <c r="FH12" s="34">
        <v>0</v>
      </c>
      <c r="FI12" s="31">
        <v>0</v>
      </c>
      <c r="FJ12" s="31" t="s">
        <v>56</v>
      </c>
      <c r="FK12" s="34">
        <f>157500/1000</f>
        <v>157.5</v>
      </c>
      <c r="FL12" s="31">
        <v>39.299999999999997</v>
      </c>
      <c r="FM12" s="31">
        <f t="shared" si="33"/>
        <v>24.952380952380953</v>
      </c>
      <c r="FN12" s="34">
        <f>4800/1000</f>
        <v>4.8</v>
      </c>
      <c r="FO12" s="31">
        <v>0</v>
      </c>
      <c r="FP12" s="31">
        <f t="shared" si="34"/>
        <v>0</v>
      </c>
      <c r="FQ12" s="34">
        <f>95500/1000</f>
        <v>95.5</v>
      </c>
      <c r="FR12" s="31">
        <v>24</v>
      </c>
      <c r="FS12" s="31">
        <f t="shared" si="69"/>
        <v>25.130890052356023</v>
      </c>
      <c r="FT12" s="34">
        <v>0</v>
      </c>
      <c r="FU12" s="31">
        <v>0</v>
      </c>
      <c r="FV12" s="31" t="s">
        <v>56</v>
      </c>
      <c r="FW12" s="34">
        <f>554500/1000</f>
        <v>554.5</v>
      </c>
      <c r="FX12" s="31">
        <f>99070/1000</f>
        <v>99.07</v>
      </c>
      <c r="FY12" s="31">
        <f t="shared" si="36"/>
        <v>17.866546438232643</v>
      </c>
      <c r="FZ12" s="34">
        <f>198400/1000</f>
        <v>198.4</v>
      </c>
      <c r="GA12" s="31">
        <f>47693.25/1000</f>
        <v>47.693249999999999</v>
      </c>
      <c r="GB12" s="31">
        <f t="shared" si="37"/>
        <v>24.038936491935484</v>
      </c>
      <c r="GC12" s="34">
        <v>0</v>
      </c>
      <c r="GD12" s="31">
        <v>0</v>
      </c>
      <c r="GE12" s="31" t="s">
        <v>56</v>
      </c>
      <c r="GF12" s="35">
        <v>0</v>
      </c>
      <c r="GG12" s="31">
        <v>0</v>
      </c>
      <c r="GH12" s="31" t="s">
        <v>56</v>
      </c>
      <c r="GI12" s="35">
        <v>1321.2</v>
      </c>
      <c r="GJ12" s="31">
        <v>140.92204999999998</v>
      </c>
      <c r="GK12" s="31">
        <f t="shared" si="40"/>
        <v>10.666216318498334</v>
      </c>
      <c r="GL12" s="34">
        <v>0</v>
      </c>
      <c r="GM12" s="34">
        <v>0</v>
      </c>
      <c r="GN12" s="31" t="s">
        <v>56</v>
      </c>
      <c r="GO12" s="34">
        <v>0</v>
      </c>
      <c r="GP12" s="31">
        <v>0</v>
      </c>
      <c r="GQ12" s="31" t="s">
        <v>56</v>
      </c>
      <c r="GR12" s="34">
        <f>416700/1000</f>
        <v>416.7</v>
      </c>
      <c r="GS12" s="31"/>
      <c r="GT12" s="31">
        <f t="shared" ref="GT12:GT26" si="75">GS12/GR12%</f>
        <v>0</v>
      </c>
      <c r="GU12" s="34">
        <v>0</v>
      </c>
      <c r="GV12" s="31">
        <v>0</v>
      </c>
      <c r="GW12" s="31" t="s">
        <v>56</v>
      </c>
      <c r="GX12" s="34">
        <f>113400/1000</f>
        <v>113.4</v>
      </c>
      <c r="GY12" s="31">
        <v>0</v>
      </c>
      <c r="GZ12" s="31">
        <v>0</v>
      </c>
      <c r="HA12" s="31">
        <f>(146500+4657100)/1000</f>
        <v>4803.6000000000004</v>
      </c>
      <c r="HB12" s="31">
        <f>1472942.9/1000</f>
        <v>1472.9429</v>
      </c>
      <c r="HC12" s="36">
        <f t="shared" si="61"/>
        <v>30.663312931967688</v>
      </c>
      <c r="HD12" s="34">
        <f>1276000/1000</f>
        <v>1276</v>
      </c>
      <c r="HE12" s="31">
        <v>106.3</v>
      </c>
      <c r="HF12" s="31">
        <f t="shared" si="62"/>
        <v>8.330721003134796</v>
      </c>
      <c r="HG12" s="28">
        <f t="shared" si="63"/>
        <v>3237.9131899999998</v>
      </c>
      <c r="HH12" s="28">
        <f t="shared" si="64"/>
        <v>0</v>
      </c>
      <c r="HI12" s="26">
        <f t="shared" si="46"/>
        <v>0</v>
      </c>
      <c r="HJ12" s="37">
        <v>0</v>
      </c>
      <c r="HK12" s="37">
        <v>0</v>
      </c>
      <c r="HL12" s="37" t="s">
        <v>56</v>
      </c>
      <c r="HM12" s="33">
        <v>0</v>
      </c>
      <c r="HN12" s="33">
        <v>0</v>
      </c>
      <c r="HO12" s="33" t="s">
        <v>56</v>
      </c>
      <c r="HP12" s="33">
        <f>2836100/1000</f>
        <v>2836.1</v>
      </c>
      <c r="HQ12" s="37">
        <v>0</v>
      </c>
      <c r="HR12" s="37">
        <v>0</v>
      </c>
      <c r="HS12" s="37">
        <v>0</v>
      </c>
      <c r="HT12" s="37">
        <v>0</v>
      </c>
      <c r="HU12" s="37" t="s">
        <v>56</v>
      </c>
      <c r="HV12" s="30">
        <v>0</v>
      </c>
      <c r="HW12" s="31">
        <v>0</v>
      </c>
      <c r="HX12" s="31" t="s">
        <v>56</v>
      </c>
      <c r="HY12" s="30">
        <f>397795.06/1000</f>
        <v>397.79505999999998</v>
      </c>
      <c r="HZ12" s="31">
        <v>0</v>
      </c>
      <c r="IA12" s="31">
        <v>0</v>
      </c>
      <c r="IB12" s="31">
        <v>0</v>
      </c>
      <c r="IC12" s="31">
        <v>0</v>
      </c>
      <c r="ID12" s="31" t="s">
        <v>56</v>
      </c>
      <c r="IE12" s="31">
        <v>0</v>
      </c>
      <c r="IF12" s="31">
        <v>0</v>
      </c>
      <c r="IG12" s="31" t="s">
        <v>56</v>
      </c>
      <c r="IH12" s="31">
        <f>4018.13/1000</f>
        <v>4.0181300000000002</v>
      </c>
      <c r="II12" s="31">
        <v>0</v>
      </c>
      <c r="IJ12" s="31">
        <v>0</v>
      </c>
      <c r="IK12" s="31">
        <v>0</v>
      </c>
      <c r="IL12" s="31">
        <v>0</v>
      </c>
      <c r="IM12" s="31" t="s">
        <v>56</v>
      </c>
      <c r="IN12" s="31">
        <v>0</v>
      </c>
      <c r="IO12" s="31">
        <v>0</v>
      </c>
      <c r="IP12" s="31" t="s">
        <v>56</v>
      </c>
      <c r="IQ12" s="31">
        <v>0</v>
      </c>
      <c r="IR12" s="31">
        <v>0</v>
      </c>
      <c r="IS12" s="31" t="s">
        <v>56</v>
      </c>
      <c r="IT12" s="11">
        <f t="shared" si="65"/>
        <v>261857.01634000003</v>
      </c>
      <c r="IU12" s="10">
        <f t="shared" si="66"/>
        <v>50417.840200000013</v>
      </c>
      <c r="IV12" s="10">
        <f t="shared" si="67"/>
        <v>19.253958096939648</v>
      </c>
      <c r="IW12" s="16"/>
      <c r="IX12" s="16"/>
      <c r="IZ12" s="18"/>
    </row>
    <row r="13" spans="1:260" x14ac:dyDescent="0.2">
      <c r="A13" s="13" t="s">
        <v>14</v>
      </c>
      <c r="B13" s="23">
        <f t="shared" si="47"/>
        <v>191893</v>
      </c>
      <c r="C13" s="23">
        <f t="shared" si="48"/>
        <v>57991.1</v>
      </c>
      <c r="D13" s="24">
        <f t="shared" si="49"/>
        <v>30.220539571532051</v>
      </c>
      <c r="E13" s="30">
        <v>191893</v>
      </c>
      <c r="F13" s="31">
        <v>57991.1</v>
      </c>
      <c r="G13" s="31">
        <f t="shared" si="50"/>
        <v>30.220539571532051</v>
      </c>
      <c r="H13" s="30">
        <v>0</v>
      </c>
      <c r="I13" s="30">
        <v>0</v>
      </c>
      <c r="J13" s="31" t="s">
        <v>56</v>
      </c>
      <c r="K13" s="31">
        <v>0</v>
      </c>
      <c r="L13" s="31">
        <v>0</v>
      </c>
      <c r="M13" s="31" t="s">
        <v>56</v>
      </c>
      <c r="N13" s="23">
        <f t="shared" si="51"/>
        <v>53569.037039999996</v>
      </c>
      <c r="O13" s="23">
        <f t="shared" si="52"/>
        <v>0</v>
      </c>
      <c r="P13" s="24">
        <f t="shared" si="53"/>
        <v>0</v>
      </c>
      <c r="Q13" s="31">
        <f>25796900/1000</f>
        <v>25796.9</v>
      </c>
      <c r="R13" s="31">
        <v>0</v>
      </c>
      <c r="S13" s="31">
        <f t="shared" si="68"/>
        <v>0</v>
      </c>
      <c r="T13" s="30">
        <v>0</v>
      </c>
      <c r="U13" s="31">
        <v>0</v>
      </c>
      <c r="V13" s="31" t="s">
        <v>56</v>
      </c>
      <c r="W13" s="30">
        <f>4709265.31/1000</f>
        <v>4709.2653099999998</v>
      </c>
      <c r="X13" s="31">
        <v>0</v>
      </c>
      <c r="Y13" s="31">
        <v>0</v>
      </c>
      <c r="Z13" s="30">
        <v>0</v>
      </c>
      <c r="AA13" s="31">
        <v>0</v>
      </c>
      <c r="AB13" s="31" t="s">
        <v>56</v>
      </c>
      <c r="AC13" s="30">
        <v>0</v>
      </c>
      <c r="AD13" s="31">
        <v>0</v>
      </c>
      <c r="AE13" s="31" t="s">
        <v>56</v>
      </c>
      <c r="AF13" s="30">
        <v>0</v>
      </c>
      <c r="AG13" s="31">
        <v>0</v>
      </c>
      <c r="AH13" s="31" t="s">
        <v>56</v>
      </c>
      <c r="AI13" s="30">
        <v>0</v>
      </c>
      <c r="AJ13" s="30">
        <v>0</v>
      </c>
      <c r="AK13" s="31" t="s">
        <v>56</v>
      </c>
      <c r="AL13" s="31">
        <f>805100/1000</f>
        <v>805.1</v>
      </c>
      <c r="AM13" s="31">
        <v>0</v>
      </c>
      <c r="AN13" s="31">
        <v>0</v>
      </c>
      <c r="AO13" s="31">
        <v>0</v>
      </c>
      <c r="AP13" s="31">
        <v>0</v>
      </c>
      <c r="AQ13" s="31" t="s">
        <v>56</v>
      </c>
      <c r="AR13" s="31">
        <v>0</v>
      </c>
      <c r="AS13" s="31">
        <v>0</v>
      </c>
      <c r="AT13" s="31" t="s">
        <v>56</v>
      </c>
      <c r="AU13" s="31">
        <f>1558829.49/1000</f>
        <v>1558.8294900000001</v>
      </c>
      <c r="AV13" s="31">
        <v>0</v>
      </c>
      <c r="AW13" s="31">
        <v>0</v>
      </c>
      <c r="AX13" s="30">
        <v>0</v>
      </c>
      <c r="AY13" s="31">
        <v>0</v>
      </c>
      <c r="AZ13" s="31" t="s">
        <v>56</v>
      </c>
      <c r="BA13" s="30">
        <v>0</v>
      </c>
      <c r="BB13" s="31">
        <v>0</v>
      </c>
      <c r="BC13" s="31" t="s">
        <v>56</v>
      </c>
      <c r="BD13" s="30">
        <f>100654.24/1000</f>
        <v>100.65424</v>
      </c>
      <c r="BE13" s="31">
        <v>0</v>
      </c>
      <c r="BF13" s="31">
        <v>0</v>
      </c>
      <c r="BG13" s="30">
        <f>300000/1000</f>
        <v>300</v>
      </c>
      <c r="BH13" s="31">
        <v>0</v>
      </c>
      <c r="BI13" s="31">
        <v>0</v>
      </c>
      <c r="BJ13" s="30">
        <v>0</v>
      </c>
      <c r="BK13" s="31">
        <v>0</v>
      </c>
      <c r="BL13" s="31" t="s">
        <v>56</v>
      </c>
      <c r="BM13" s="30">
        <v>0</v>
      </c>
      <c r="BN13" s="31">
        <v>0</v>
      </c>
      <c r="BO13" s="31" t="s">
        <v>56</v>
      </c>
      <c r="BP13" s="30">
        <v>0</v>
      </c>
      <c r="BQ13" s="31">
        <v>0</v>
      </c>
      <c r="BR13" s="31" t="s">
        <v>56</v>
      </c>
      <c r="BS13" s="30">
        <v>0</v>
      </c>
      <c r="BT13" s="31">
        <v>0</v>
      </c>
      <c r="BU13" s="31" t="s">
        <v>56</v>
      </c>
      <c r="BV13" s="31">
        <v>0</v>
      </c>
      <c r="BW13" s="31">
        <v>0</v>
      </c>
      <c r="BX13" s="31" t="s">
        <v>56</v>
      </c>
      <c r="BY13" s="31">
        <v>0</v>
      </c>
      <c r="BZ13" s="31">
        <v>0</v>
      </c>
      <c r="CA13" s="32" t="s">
        <v>56</v>
      </c>
      <c r="CB13" s="30">
        <v>0</v>
      </c>
      <c r="CC13" s="30">
        <v>0</v>
      </c>
      <c r="CD13" s="33" t="s">
        <v>56</v>
      </c>
      <c r="CE13" s="30">
        <v>0</v>
      </c>
      <c r="CF13" s="30">
        <v>0</v>
      </c>
      <c r="CG13" s="33" t="s">
        <v>56</v>
      </c>
      <c r="CH13" s="33">
        <v>0</v>
      </c>
      <c r="CI13" s="33">
        <v>0</v>
      </c>
      <c r="CJ13" s="33" t="s">
        <v>56</v>
      </c>
      <c r="CK13" s="30">
        <v>0</v>
      </c>
      <c r="CL13" s="30">
        <v>0</v>
      </c>
      <c r="CM13" s="33" t="s">
        <v>56</v>
      </c>
      <c r="CN13" s="30">
        <f>2925200/1000</f>
        <v>2925.2</v>
      </c>
      <c r="CO13" s="33">
        <v>0</v>
      </c>
      <c r="CP13" s="33">
        <v>0</v>
      </c>
      <c r="CQ13" s="33">
        <v>0</v>
      </c>
      <c r="CR13" s="33">
        <v>0</v>
      </c>
      <c r="CS13" s="33" t="s">
        <v>56</v>
      </c>
      <c r="CT13" s="33">
        <v>0</v>
      </c>
      <c r="CU13" s="33">
        <v>0</v>
      </c>
      <c r="CV13" s="33" t="s">
        <v>56</v>
      </c>
      <c r="CW13" s="33">
        <f>2930265/1000</f>
        <v>2930.2649999999999</v>
      </c>
      <c r="CX13" s="33">
        <v>0</v>
      </c>
      <c r="CY13" s="33">
        <v>0</v>
      </c>
      <c r="CZ13" s="33">
        <f>2035723/1000</f>
        <v>2035.723</v>
      </c>
      <c r="DA13" s="33">
        <v>0</v>
      </c>
      <c r="DB13" s="33">
        <f t="shared" si="71"/>
        <v>0</v>
      </c>
      <c r="DC13" s="33">
        <f>3190000/1000</f>
        <v>3190</v>
      </c>
      <c r="DD13" s="33">
        <v>0</v>
      </c>
      <c r="DE13" s="33">
        <v>0</v>
      </c>
      <c r="DF13" s="33">
        <v>0</v>
      </c>
      <c r="DG13" s="33">
        <v>0</v>
      </c>
      <c r="DH13" s="33" t="s">
        <v>56</v>
      </c>
      <c r="DI13" s="33">
        <f>9217100/1000</f>
        <v>9217.1</v>
      </c>
      <c r="DJ13" s="33">
        <v>0</v>
      </c>
      <c r="DK13" s="33">
        <v>0</v>
      </c>
      <c r="DL13" s="33">
        <v>0</v>
      </c>
      <c r="DM13" s="33">
        <v>0</v>
      </c>
      <c r="DN13" s="33" t="s">
        <v>56</v>
      </c>
      <c r="DO13" s="33">
        <v>0</v>
      </c>
      <c r="DP13" s="33">
        <v>0</v>
      </c>
      <c r="DQ13" s="33" t="s">
        <v>56</v>
      </c>
      <c r="DR13" s="33">
        <v>0</v>
      </c>
      <c r="DS13" s="33">
        <v>0</v>
      </c>
      <c r="DT13" s="33" t="s">
        <v>56</v>
      </c>
      <c r="DU13" s="33">
        <v>0</v>
      </c>
      <c r="DV13" s="33">
        <v>0</v>
      </c>
      <c r="DW13" s="33" t="s">
        <v>56</v>
      </c>
      <c r="DX13" s="30">
        <v>0</v>
      </c>
      <c r="DY13" s="31">
        <v>0</v>
      </c>
      <c r="DZ13" s="33" t="s">
        <v>56</v>
      </c>
      <c r="EA13" s="30">
        <v>0</v>
      </c>
      <c r="EB13" s="31">
        <v>0</v>
      </c>
      <c r="EC13" s="33" t="s">
        <v>56</v>
      </c>
      <c r="ED13" s="23">
        <f t="shared" si="55"/>
        <v>333465.7</v>
      </c>
      <c r="EE13" s="23">
        <f t="shared" si="56"/>
        <v>81180.832289999991</v>
      </c>
      <c r="EF13" s="24">
        <f t="shared" si="57"/>
        <v>24.34458245330779</v>
      </c>
      <c r="EG13" s="34">
        <f>1963300/1000</f>
        <v>1963.3</v>
      </c>
      <c r="EH13" s="34">
        <f>682156/1000</f>
        <v>682.15599999999995</v>
      </c>
      <c r="EI13" s="31">
        <f t="shared" si="26"/>
        <v>34.745377680436</v>
      </c>
      <c r="EJ13" s="34">
        <v>0</v>
      </c>
      <c r="EK13" s="31">
        <v>0</v>
      </c>
      <c r="EL13" s="31" t="s">
        <v>56</v>
      </c>
      <c r="EM13" s="34">
        <v>0</v>
      </c>
      <c r="EN13" s="31">
        <v>0</v>
      </c>
      <c r="EO13" s="31" t="s">
        <v>56</v>
      </c>
      <c r="EP13" s="34">
        <v>95668.9</v>
      </c>
      <c r="EQ13" s="31">
        <v>20353.467000000001</v>
      </c>
      <c r="ER13" s="31">
        <f t="shared" si="58"/>
        <v>21.274904383765257</v>
      </c>
      <c r="ES13" s="31">
        <v>190740.3</v>
      </c>
      <c r="ET13" s="31">
        <v>50255.9</v>
      </c>
      <c r="EU13" s="36">
        <f t="shared" si="59"/>
        <v>26.34781427941552</v>
      </c>
      <c r="EV13" s="34">
        <f>18021200/1000</f>
        <v>18021.2</v>
      </c>
      <c r="EW13" s="33">
        <v>4050.7</v>
      </c>
      <c r="EX13" s="33">
        <f t="shared" si="60"/>
        <v>22.477415488424739</v>
      </c>
      <c r="EY13" s="34">
        <f>4674600/1000</f>
        <v>4674.6000000000004</v>
      </c>
      <c r="EZ13" s="31">
        <v>0</v>
      </c>
      <c r="FA13" s="31">
        <f t="shared" si="30"/>
        <v>0</v>
      </c>
      <c r="FB13" s="34">
        <v>0</v>
      </c>
      <c r="FC13" s="31">
        <v>0</v>
      </c>
      <c r="FD13" s="31" t="s">
        <v>56</v>
      </c>
      <c r="FE13" s="34">
        <v>0</v>
      </c>
      <c r="FF13" s="31">
        <v>0</v>
      </c>
      <c r="FG13" s="31" t="s">
        <v>56</v>
      </c>
      <c r="FH13" s="34">
        <v>0</v>
      </c>
      <c r="FI13" s="31">
        <v>0</v>
      </c>
      <c r="FJ13" s="31" t="s">
        <v>56</v>
      </c>
      <c r="FK13" s="34">
        <f>175000/1000</f>
        <v>175</v>
      </c>
      <c r="FL13" s="31">
        <v>43.8</v>
      </c>
      <c r="FM13" s="31">
        <f t="shared" si="33"/>
        <v>25.028571428571428</v>
      </c>
      <c r="FN13" s="34">
        <f>4900/1000</f>
        <v>4.9000000000000004</v>
      </c>
      <c r="FO13" s="31">
        <v>0</v>
      </c>
      <c r="FP13" s="31">
        <f t="shared" si="34"/>
        <v>0</v>
      </c>
      <c r="FQ13" s="34">
        <f>159100/1000</f>
        <v>159.1</v>
      </c>
      <c r="FR13" s="31">
        <v>39.9</v>
      </c>
      <c r="FS13" s="31">
        <f t="shared" si="69"/>
        <v>25.078566939032054</v>
      </c>
      <c r="FT13" s="34">
        <v>0</v>
      </c>
      <c r="FU13" s="31">
        <v>0</v>
      </c>
      <c r="FV13" s="31" t="s">
        <v>56</v>
      </c>
      <c r="FW13" s="34">
        <f>528000/1000</f>
        <v>528</v>
      </c>
      <c r="FX13" s="31">
        <f>116113/1000</f>
        <v>116.113</v>
      </c>
      <c r="FY13" s="31">
        <f t="shared" si="36"/>
        <v>21.991098484848482</v>
      </c>
      <c r="FZ13" s="34">
        <f>198400/1000</f>
        <v>198.4</v>
      </c>
      <c r="GA13" s="31">
        <f>49599/1000</f>
        <v>49.598999999999997</v>
      </c>
      <c r="GB13" s="31">
        <f t="shared" si="37"/>
        <v>24.999495967741932</v>
      </c>
      <c r="GC13" s="34">
        <v>0</v>
      </c>
      <c r="GD13" s="31">
        <v>0</v>
      </c>
      <c r="GE13" s="31" t="s">
        <v>56</v>
      </c>
      <c r="GF13" s="35">
        <v>0</v>
      </c>
      <c r="GG13" s="31">
        <v>0</v>
      </c>
      <c r="GH13" s="31" t="s">
        <v>56</v>
      </c>
      <c r="GI13" s="35">
        <v>1458.5</v>
      </c>
      <c r="GJ13" s="31">
        <v>317.90073000000001</v>
      </c>
      <c r="GK13" s="31">
        <f t="shared" si="40"/>
        <v>21.796416181007885</v>
      </c>
      <c r="GL13" s="34">
        <v>0</v>
      </c>
      <c r="GM13" s="34">
        <v>0</v>
      </c>
      <c r="GN13" s="31" t="s">
        <v>56</v>
      </c>
      <c r="GO13" s="34">
        <f>99000/1000</f>
        <v>99</v>
      </c>
      <c r="GP13" s="31">
        <f>24738/1000</f>
        <v>24.738</v>
      </c>
      <c r="GQ13" s="31">
        <f t="shared" ref="GQ13:GQ25" si="76">GP13/GO13%</f>
        <v>24.987878787878788</v>
      </c>
      <c r="GR13" s="34">
        <f>2576800/1000</f>
        <v>2576.8000000000002</v>
      </c>
      <c r="GS13" s="31">
        <v>140</v>
      </c>
      <c r="GT13" s="31">
        <f t="shared" si="75"/>
        <v>5.4330953120149017</v>
      </c>
      <c r="GU13" s="34">
        <v>0</v>
      </c>
      <c r="GV13" s="31">
        <v>0</v>
      </c>
      <c r="GW13" s="31" t="s">
        <v>56</v>
      </c>
      <c r="GX13" s="34">
        <f>214000/1000</f>
        <v>214</v>
      </c>
      <c r="GY13" s="31">
        <v>0</v>
      </c>
      <c r="GZ13" s="31">
        <v>0</v>
      </c>
      <c r="HA13" s="31">
        <f>(366300+14527400)/1000</f>
        <v>14893.7</v>
      </c>
      <c r="HB13" s="31">
        <f>4583958.56/1000</f>
        <v>4583.95856</v>
      </c>
      <c r="HC13" s="36">
        <f t="shared" si="61"/>
        <v>30.777835997770868</v>
      </c>
      <c r="HD13" s="34">
        <f>2090000/1000</f>
        <v>2090</v>
      </c>
      <c r="HE13" s="31">
        <v>522.6</v>
      </c>
      <c r="HF13" s="31">
        <f t="shared" si="62"/>
        <v>25.004784688995219</v>
      </c>
      <c r="HG13" s="28">
        <f t="shared" si="63"/>
        <v>13647.5</v>
      </c>
      <c r="HH13" s="28">
        <f t="shared" si="64"/>
        <v>0</v>
      </c>
      <c r="HI13" s="26">
        <f t="shared" si="46"/>
        <v>0</v>
      </c>
      <c r="HJ13" s="37">
        <v>0</v>
      </c>
      <c r="HK13" s="37">
        <v>0</v>
      </c>
      <c r="HL13" s="37" t="s">
        <v>56</v>
      </c>
      <c r="HM13" s="33">
        <v>0</v>
      </c>
      <c r="HN13" s="33">
        <v>0</v>
      </c>
      <c r="HO13" s="33" t="s">
        <v>56</v>
      </c>
      <c r="HP13" s="33">
        <f>4647500/1000</f>
        <v>4647.5</v>
      </c>
      <c r="HQ13" s="37">
        <v>0</v>
      </c>
      <c r="HR13" s="37">
        <v>0</v>
      </c>
      <c r="HS13" s="37">
        <v>0</v>
      </c>
      <c r="HT13" s="37">
        <v>0</v>
      </c>
      <c r="HU13" s="37" t="s">
        <v>56</v>
      </c>
      <c r="HV13" s="30">
        <f>8910000/1000</f>
        <v>8910</v>
      </c>
      <c r="HW13" s="31">
        <v>0</v>
      </c>
      <c r="HX13" s="31">
        <v>0</v>
      </c>
      <c r="HY13" s="30">
        <v>0</v>
      </c>
      <c r="HZ13" s="31">
        <v>0</v>
      </c>
      <c r="IA13" s="31" t="s">
        <v>56</v>
      </c>
      <c r="IB13" s="31">
        <v>0</v>
      </c>
      <c r="IC13" s="31">
        <v>0</v>
      </c>
      <c r="ID13" s="31" t="s">
        <v>56</v>
      </c>
      <c r="IE13" s="31">
        <f>90000/1000</f>
        <v>90</v>
      </c>
      <c r="IF13" s="31">
        <v>0</v>
      </c>
      <c r="IG13" s="31">
        <v>0</v>
      </c>
      <c r="IH13" s="31">
        <v>0</v>
      </c>
      <c r="II13" s="31">
        <v>0</v>
      </c>
      <c r="IJ13" s="31" t="s">
        <v>56</v>
      </c>
      <c r="IK13" s="31">
        <v>0</v>
      </c>
      <c r="IL13" s="31">
        <v>0</v>
      </c>
      <c r="IM13" s="31" t="s">
        <v>56</v>
      </c>
      <c r="IN13" s="31">
        <v>0</v>
      </c>
      <c r="IO13" s="31">
        <v>0</v>
      </c>
      <c r="IP13" s="31" t="s">
        <v>56</v>
      </c>
      <c r="IQ13" s="31">
        <v>0</v>
      </c>
      <c r="IR13" s="31">
        <v>0</v>
      </c>
      <c r="IS13" s="31" t="s">
        <v>56</v>
      </c>
      <c r="IT13" s="11">
        <f t="shared" si="65"/>
        <v>592575.23704000004</v>
      </c>
      <c r="IU13" s="10">
        <f t="shared" si="66"/>
        <v>139171.93229</v>
      </c>
      <c r="IV13" s="10">
        <f t="shared" si="67"/>
        <v>23.485951418622243</v>
      </c>
      <c r="IW13" s="16"/>
      <c r="IX13" s="16"/>
      <c r="IZ13" s="18"/>
    </row>
    <row r="14" spans="1:260" x14ac:dyDescent="0.2">
      <c r="A14" s="13" t="s">
        <v>15</v>
      </c>
      <c r="B14" s="23">
        <f t="shared" si="47"/>
        <v>57636</v>
      </c>
      <c r="C14" s="23">
        <f t="shared" si="48"/>
        <v>27074.2</v>
      </c>
      <c r="D14" s="24">
        <f t="shared" si="49"/>
        <v>46.97446040669027</v>
      </c>
      <c r="E14" s="30">
        <v>57636</v>
      </c>
      <c r="F14" s="31">
        <v>27074.2</v>
      </c>
      <c r="G14" s="31">
        <f t="shared" si="50"/>
        <v>46.97446040669027</v>
      </c>
      <c r="H14" s="30">
        <v>0</v>
      </c>
      <c r="I14" s="30">
        <v>0</v>
      </c>
      <c r="J14" s="31" t="s">
        <v>56</v>
      </c>
      <c r="K14" s="31">
        <v>0</v>
      </c>
      <c r="L14" s="31">
        <v>0</v>
      </c>
      <c r="M14" s="31" t="s">
        <v>56</v>
      </c>
      <c r="N14" s="23">
        <f t="shared" si="51"/>
        <v>63712.712829999997</v>
      </c>
      <c r="O14" s="23">
        <f t="shared" si="52"/>
        <v>104.9</v>
      </c>
      <c r="P14" s="24">
        <f t="shared" si="53"/>
        <v>0.16464532012613722</v>
      </c>
      <c r="Q14" s="31">
        <f>4063440/1000</f>
        <v>4063.44</v>
      </c>
      <c r="R14" s="31">
        <v>0</v>
      </c>
      <c r="S14" s="31">
        <f t="shared" si="68"/>
        <v>0</v>
      </c>
      <c r="T14" s="30">
        <v>0</v>
      </c>
      <c r="U14" s="31">
        <v>0</v>
      </c>
      <c r="V14" s="31" t="s">
        <v>56</v>
      </c>
      <c r="W14" s="30">
        <f>13145688.54/1000</f>
        <v>13145.688539999999</v>
      </c>
      <c r="X14" s="31">
        <v>0</v>
      </c>
      <c r="Y14" s="31">
        <v>0</v>
      </c>
      <c r="Z14" s="30">
        <f>1020214.29/1000</f>
        <v>1020.21429</v>
      </c>
      <c r="AA14" s="31">
        <v>0</v>
      </c>
      <c r="AB14" s="31">
        <f t="shared" si="5"/>
        <v>0</v>
      </c>
      <c r="AC14" s="30">
        <v>0</v>
      </c>
      <c r="AD14" s="31">
        <v>0</v>
      </c>
      <c r="AE14" s="31" t="s">
        <v>56</v>
      </c>
      <c r="AF14" s="30">
        <v>0</v>
      </c>
      <c r="AG14" s="31">
        <v>0</v>
      </c>
      <c r="AH14" s="31" t="s">
        <v>56</v>
      </c>
      <c r="AI14" s="30">
        <v>0</v>
      </c>
      <c r="AJ14" s="30">
        <v>0</v>
      </c>
      <c r="AK14" s="31" t="s">
        <v>56</v>
      </c>
      <c r="AL14" s="31">
        <f>3324200/1000</f>
        <v>3324.2</v>
      </c>
      <c r="AM14" s="31">
        <v>0</v>
      </c>
      <c r="AN14" s="31">
        <v>0</v>
      </c>
      <c r="AO14" s="31">
        <v>0</v>
      </c>
      <c r="AP14" s="31">
        <v>0</v>
      </c>
      <c r="AQ14" s="31" t="s">
        <v>56</v>
      </c>
      <c r="AR14" s="31">
        <v>0</v>
      </c>
      <c r="AS14" s="31">
        <v>0</v>
      </c>
      <c r="AT14" s="31" t="s">
        <v>56</v>
      </c>
      <c r="AU14" s="31">
        <f>2696270/1000</f>
        <v>2696.27</v>
      </c>
      <c r="AV14" s="31">
        <v>0</v>
      </c>
      <c r="AW14" s="31">
        <v>0</v>
      </c>
      <c r="AX14" s="30">
        <v>0</v>
      </c>
      <c r="AY14" s="31">
        <v>0</v>
      </c>
      <c r="AZ14" s="31" t="s">
        <v>56</v>
      </c>
      <c r="BA14" s="30">
        <v>0</v>
      </c>
      <c r="BB14" s="31">
        <v>0</v>
      </c>
      <c r="BC14" s="31" t="s">
        <v>56</v>
      </c>
      <c r="BD14" s="30">
        <v>0</v>
      </c>
      <c r="BE14" s="31">
        <v>0</v>
      </c>
      <c r="BF14" s="31" t="s">
        <v>56</v>
      </c>
      <c r="BG14" s="30">
        <v>0</v>
      </c>
      <c r="BH14" s="31">
        <v>0</v>
      </c>
      <c r="BI14" s="31" t="s">
        <v>56</v>
      </c>
      <c r="BJ14" s="30">
        <v>0</v>
      </c>
      <c r="BK14" s="31">
        <v>0</v>
      </c>
      <c r="BL14" s="31" t="s">
        <v>56</v>
      </c>
      <c r="BM14" s="30">
        <v>0</v>
      </c>
      <c r="BN14" s="31">
        <v>0</v>
      </c>
      <c r="BO14" s="31" t="s">
        <v>56</v>
      </c>
      <c r="BP14" s="30">
        <v>0</v>
      </c>
      <c r="BQ14" s="31">
        <v>0</v>
      </c>
      <c r="BR14" s="31" t="s">
        <v>56</v>
      </c>
      <c r="BS14" s="30">
        <v>0</v>
      </c>
      <c r="BT14" s="31">
        <v>0</v>
      </c>
      <c r="BU14" s="31" t="s">
        <v>56</v>
      </c>
      <c r="BV14" s="31">
        <v>0</v>
      </c>
      <c r="BW14" s="31">
        <v>0</v>
      </c>
      <c r="BX14" s="31" t="s">
        <v>56</v>
      </c>
      <c r="BY14" s="31">
        <v>1301.2</v>
      </c>
      <c r="BZ14" s="31">
        <v>104.9</v>
      </c>
      <c r="CA14" s="32">
        <f t="shared" si="54"/>
        <v>8.0617891177374741</v>
      </c>
      <c r="CB14" s="30">
        <v>0</v>
      </c>
      <c r="CC14" s="30">
        <v>0</v>
      </c>
      <c r="CD14" s="33" t="s">
        <v>56</v>
      </c>
      <c r="CE14" s="30">
        <v>0</v>
      </c>
      <c r="CF14" s="30">
        <v>0</v>
      </c>
      <c r="CG14" s="33" t="s">
        <v>56</v>
      </c>
      <c r="CH14" s="33">
        <v>0</v>
      </c>
      <c r="CI14" s="33">
        <v>0</v>
      </c>
      <c r="CJ14" s="33" t="s">
        <v>56</v>
      </c>
      <c r="CK14" s="30">
        <v>0</v>
      </c>
      <c r="CL14" s="30">
        <v>0</v>
      </c>
      <c r="CM14" s="33" t="s">
        <v>56</v>
      </c>
      <c r="CN14" s="30">
        <f>3612300/1000</f>
        <v>3612.3</v>
      </c>
      <c r="CO14" s="33">
        <v>0</v>
      </c>
      <c r="CP14" s="33">
        <v>0</v>
      </c>
      <c r="CQ14" s="33">
        <v>0</v>
      </c>
      <c r="CR14" s="33">
        <v>0</v>
      </c>
      <c r="CS14" s="33" t="s">
        <v>56</v>
      </c>
      <c r="CT14" s="33">
        <v>0</v>
      </c>
      <c r="CU14" s="33">
        <v>0</v>
      </c>
      <c r="CV14" s="33" t="s">
        <v>56</v>
      </c>
      <c r="CW14" s="33">
        <v>0</v>
      </c>
      <c r="CX14" s="33">
        <v>0</v>
      </c>
      <c r="CY14" s="33" t="s">
        <v>56</v>
      </c>
      <c r="CZ14" s="33">
        <v>0</v>
      </c>
      <c r="DA14" s="33">
        <v>0</v>
      </c>
      <c r="DB14" s="33" t="s">
        <v>56</v>
      </c>
      <c r="DC14" s="33">
        <v>0</v>
      </c>
      <c r="DD14" s="33">
        <v>0</v>
      </c>
      <c r="DE14" s="33" t="s">
        <v>56</v>
      </c>
      <c r="DF14" s="33">
        <v>0</v>
      </c>
      <c r="DG14" s="33">
        <v>0</v>
      </c>
      <c r="DH14" s="33" t="s">
        <v>56</v>
      </c>
      <c r="DI14" s="33">
        <f>3749400/1000</f>
        <v>3749.4</v>
      </c>
      <c r="DJ14" s="33">
        <v>0</v>
      </c>
      <c r="DK14" s="33">
        <v>0</v>
      </c>
      <c r="DL14" s="33">
        <f>800000/1000</f>
        <v>800</v>
      </c>
      <c r="DM14" s="33">
        <v>0</v>
      </c>
      <c r="DN14" s="33">
        <v>0</v>
      </c>
      <c r="DO14" s="33">
        <v>0</v>
      </c>
      <c r="DP14" s="33">
        <v>0</v>
      </c>
      <c r="DQ14" s="33" t="s">
        <v>56</v>
      </c>
      <c r="DR14" s="33">
        <v>0</v>
      </c>
      <c r="DS14" s="33">
        <v>0</v>
      </c>
      <c r="DT14" s="33" t="s">
        <v>56</v>
      </c>
      <c r="DU14" s="33">
        <v>0</v>
      </c>
      <c r="DV14" s="33">
        <v>0</v>
      </c>
      <c r="DW14" s="33" t="s">
        <v>56</v>
      </c>
      <c r="DX14" s="30">
        <v>30000</v>
      </c>
      <c r="DY14" s="31">
        <v>0</v>
      </c>
      <c r="DZ14" s="33">
        <v>0</v>
      </c>
      <c r="EA14" s="30">
        <v>0</v>
      </c>
      <c r="EB14" s="31">
        <v>0</v>
      </c>
      <c r="EC14" s="33" t="s">
        <v>56</v>
      </c>
      <c r="ED14" s="23">
        <f t="shared" si="55"/>
        <v>294097.73200000008</v>
      </c>
      <c r="EE14" s="23">
        <f t="shared" si="56"/>
        <v>83170.335720000003</v>
      </c>
      <c r="EF14" s="24">
        <f t="shared" si="57"/>
        <v>28.279829005957779</v>
      </c>
      <c r="EG14" s="34">
        <f>2416300/1000</f>
        <v>2416.3000000000002</v>
      </c>
      <c r="EH14" s="34">
        <v>343.2</v>
      </c>
      <c r="EI14" s="31">
        <f t="shared" si="26"/>
        <v>14.203534329346521</v>
      </c>
      <c r="EJ14" s="34">
        <v>0</v>
      </c>
      <c r="EK14" s="31">
        <v>0</v>
      </c>
      <c r="EL14" s="31" t="s">
        <v>56</v>
      </c>
      <c r="EM14" s="34">
        <v>0</v>
      </c>
      <c r="EN14" s="31">
        <v>0</v>
      </c>
      <c r="EO14" s="31" t="s">
        <v>56</v>
      </c>
      <c r="EP14" s="34">
        <v>86765.8</v>
      </c>
      <c r="EQ14" s="31">
        <v>21581.587</v>
      </c>
      <c r="ER14" s="31">
        <f t="shared" si="58"/>
        <v>24.87337983398989</v>
      </c>
      <c r="ES14" s="31">
        <v>174770.7</v>
      </c>
      <c r="ET14" s="31">
        <v>54771.8</v>
      </c>
      <c r="EU14" s="36">
        <f t="shared" si="59"/>
        <v>31.33923478020057</v>
      </c>
      <c r="EV14" s="34">
        <f>5915700/1000</f>
        <v>5915.7</v>
      </c>
      <c r="EW14" s="33">
        <v>1561.8</v>
      </c>
      <c r="EX14" s="33">
        <f t="shared" si="60"/>
        <v>26.400933110198288</v>
      </c>
      <c r="EY14" s="34">
        <f>2799400/1000</f>
        <v>2799.4</v>
      </c>
      <c r="EZ14" s="31">
        <v>0</v>
      </c>
      <c r="FA14" s="31">
        <f t="shared" si="30"/>
        <v>0</v>
      </c>
      <c r="FB14" s="34">
        <v>0</v>
      </c>
      <c r="FC14" s="31">
        <v>0</v>
      </c>
      <c r="FD14" s="31" t="s">
        <v>56</v>
      </c>
      <c r="FE14" s="34">
        <v>0</v>
      </c>
      <c r="FF14" s="31">
        <v>0</v>
      </c>
      <c r="FG14" s="31" t="s">
        <v>56</v>
      </c>
      <c r="FH14" s="34">
        <f>21632/1000</f>
        <v>21.632000000000001</v>
      </c>
      <c r="FI14" s="31">
        <v>0</v>
      </c>
      <c r="FJ14" s="31">
        <f t="shared" si="31"/>
        <v>0</v>
      </c>
      <c r="FK14" s="34">
        <f>140000/1000</f>
        <v>140</v>
      </c>
      <c r="FL14" s="31">
        <v>35.1</v>
      </c>
      <c r="FM14" s="31">
        <f t="shared" si="33"/>
        <v>25.071428571428573</v>
      </c>
      <c r="FN14" s="34">
        <f>2400/1000</f>
        <v>2.4</v>
      </c>
      <c r="FO14" s="31">
        <v>0</v>
      </c>
      <c r="FP14" s="31">
        <f t="shared" si="34"/>
        <v>0</v>
      </c>
      <c r="FQ14" s="34">
        <f>63600/1000</f>
        <v>63.6</v>
      </c>
      <c r="FR14" s="31">
        <v>15.9</v>
      </c>
      <c r="FS14" s="31">
        <f t="shared" si="69"/>
        <v>25</v>
      </c>
      <c r="FT14" s="34">
        <f>500/1000</f>
        <v>0.5</v>
      </c>
      <c r="FU14" s="31">
        <v>0</v>
      </c>
      <c r="FV14" s="31">
        <f t="shared" si="73"/>
        <v>0</v>
      </c>
      <c r="FW14" s="34">
        <f>582300/1000</f>
        <v>582.29999999999995</v>
      </c>
      <c r="FX14" s="31">
        <f>93178/1000</f>
        <v>93.177999999999997</v>
      </c>
      <c r="FY14" s="31">
        <f t="shared" si="36"/>
        <v>16.001717327837884</v>
      </c>
      <c r="FZ14" s="34">
        <f>209900/1000</f>
        <v>209.9</v>
      </c>
      <c r="GA14" s="31">
        <v>68.89</v>
      </c>
      <c r="GB14" s="31">
        <f t="shared" si="37"/>
        <v>32.820390662220099</v>
      </c>
      <c r="GC14" s="34">
        <v>0</v>
      </c>
      <c r="GD14" s="31">
        <v>0</v>
      </c>
      <c r="GE14" s="31" t="s">
        <v>56</v>
      </c>
      <c r="GF14" s="35">
        <v>0</v>
      </c>
      <c r="GG14" s="31">
        <v>0</v>
      </c>
      <c r="GH14" s="31" t="s">
        <v>56</v>
      </c>
      <c r="GI14" s="35">
        <v>2067.6999999999998</v>
      </c>
      <c r="GJ14" s="31">
        <v>357.79872</v>
      </c>
      <c r="GK14" s="31">
        <f t="shared" si="40"/>
        <v>17.304189195724717</v>
      </c>
      <c r="GL14" s="34">
        <v>0</v>
      </c>
      <c r="GM14" s="34">
        <v>0</v>
      </c>
      <c r="GN14" s="31" t="s">
        <v>56</v>
      </c>
      <c r="GO14" s="34">
        <f>260000/1000</f>
        <v>260</v>
      </c>
      <c r="GP14" s="31">
        <v>69.599999999999994</v>
      </c>
      <c r="GQ14" s="31">
        <f t="shared" si="76"/>
        <v>26.769230769230766</v>
      </c>
      <c r="GR14" s="34">
        <f>460800/1000</f>
        <v>460.8</v>
      </c>
      <c r="GS14" s="31">
        <v>130.19999999999999</v>
      </c>
      <c r="GT14" s="31">
        <f t="shared" si="75"/>
        <v>28.255208333333329</v>
      </c>
      <c r="GU14" s="34">
        <f>1040500/1000</f>
        <v>1040.5</v>
      </c>
      <c r="GV14" s="31">
        <v>0</v>
      </c>
      <c r="GW14" s="31">
        <f t="shared" si="43"/>
        <v>0</v>
      </c>
      <c r="GX14" s="34">
        <f>285400/1000</f>
        <v>285.39999999999998</v>
      </c>
      <c r="GY14" s="31">
        <v>0</v>
      </c>
      <c r="GZ14" s="31">
        <v>0</v>
      </c>
      <c r="HA14" s="31">
        <f>(597100+12550000)/1000</f>
        <v>13147.1</v>
      </c>
      <c r="HB14" s="31">
        <f>3354382/1000</f>
        <v>3354.3820000000001</v>
      </c>
      <c r="HC14" s="36">
        <f t="shared" si="61"/>
        <v>25.51423507845837</v>
      </c>
      <c r="HD14" s="34">
        <f>3148000/1000</f>
        <v>3148</v>
      </c>
      <c r="HE14" s="31">
        <v>786.9</v>
      </c>
      <c r="HF14" s="31">
        <f t="shared" si="62"/>
        <v>24.996823379923761</v>
      </c>
      <c r="HG14" s="28">
        <f t="shared" si="63"/>
        <v>10296.145</v>
      </c>
      <c r="HH14" s="28">
        <f t="shared" si="64"/>
        <v>0</v>
      </c>
      <c r="HI14" s="26">
        <f t="shared" si="46"/>
        <v>0</v>
      </c>
      <c r="HJ14" s="37">
        <v>0</v>
      </c>
      <c r="HK14" s="37">
        <v>0</v>
      </c>
      <c r="HL14" s="37" t="s">
        <v>56</v>
      </c>
      <c r="HM14" s="33">
        <v>0</v>
      </c>
      <c r="HN14" s="33">
        <v>0</v>
      </c>
      <c r="HO14" s="33" t="s">
        <v>56</v>
      </c>
      <c r="HP14" s="33">
        <f>7296145/1000</f>
        <v>7296.1450000000004</v>
      </c>
      <c r="HQ14" s="37">
        <v>0</v>
      </c>
      <c r="HR14" s="37">
        <v>0</v>
      </c>
      <c r="HS14" s="37">
        <v>0</v>
      </c>
      <c r="HT14" s="37">
        <v>0</v>
      </c>
      <c r="HU14" s="37" t="s">
        <v>56</v>
      </c>
      <c r="HV14" s="30">
        <f>2970000/1000</f>
        <v>2970</v>
      </c>
      <c r="HW14" s="31">
        <v>0</v>
      </c>
      <c r="HX14" s="31">
        <v>0</v>
      </c>
      <c r="HY14" s="30">
        <v>0</v>
      </c>
      <c r="HZ14" s="31">
        <v>0</v>
      </c>
      <c r="IA14" s="31" t="s">
        <v>56</v>
      </c>
      <c r="IB14" s="31">
        <v>0</v>
      </c>
      <c r="IC14" s="31">
        <v>0</v>
      </c>
      <c r="ID14" s="31" t="s">
        <v>56</v>
      </c>
      <c r="IE14" s="31">
        <f>30000/1000</f>
        <v>30</v>
      </c>
      <c r="IF14" s="31">
        <v>0</v>
      </c>
      <c r="IG14" s="31">
        <v>0</v>
      </c>
      <c r="IH14" s="31">
        <v>0</v>
      </c>
      <c r="II14" s="31">
        <v>0</v>
      </c>
      <c r="IJ14" s="31" t="s">
        <v>56</v>
      </c>
      <c r="IK14" s="31">
        <v>0</v>
      </c>
      <c r="IL14" s="31">
        <v>0</v>
      </c>
      <c r="IM14" s="31" t="s">
        <v>56</v>
      </c>
      <c r="IN14" s="31">
        <v>0</v>
      </c>
      <c r="IO14" s="31">
        <v>0</v>
      </c>
      <c r="IP14" s="31" t="s">
        <v>56</v>
      </c>
      <c r="IQ14" s="31">
        <v>0</v>
      </c>
      <c r="IR14" s="31">
        <v>0</v>
      </c>
      <c r="IS14" s="31" t="s">
        <v>56</v>
      </c>
      <c r="IT14" s="11">
        <f t="shared" si="65"/>
        <v>425742.58983000007</v>
      </c>
      <c r="IU14" s="10">
        <f t="shared" si="66"/>
        <v>110349.43572000001</v>
      </c>
      <c r="IV14" s="10">
        <f t="shared" si="67"/>
        <v>25.919285116403966</v>
      </c>
      <c r="IW14" s="16"/>
      <c r="IX14" s="16"/>
      <c r="IZ14" s="18"/>
    </row>
    <row r="15" spans="1:260" x14ac:dyDescent="0.2">
      <c r="A15" s="13" t="s">
        <v>16</v>
      </c>
      <c r="B15" s="23">
        <f t="shared" si="47"/>
        <v>98644</v>
      </c>
      <c r="C15" s="23">
        <f t="shared" si="48"/>
        <v>0</v>
      </c>
      <c r="D15" s="24">
        <f t="shared" si="49"/>
        <v>0</v>
      </c>
      <c r="E15" s="30">
        <v>98644</v>
      </c>
      <c r="F15" s="31">
        <v>0</v>
      </c>
      <c r="G15" s="31">
        <f t="shared" si="50"/>
        <v>0</v>
      </c>
      <c r="H15" s="30">
        <v>0</v>
      </c>
      <c r="I15" s="30">
        <v>0</v>
      </c>
      <c r="J15" s="31" t="s">
        <v>56</v>
      </c>
      <c r="K15" s="31">
        <v>0</v>
      </c>
      <c r="L15" s="31">
        <v>0</v>
      </c>
      <c r="M15" s="31" t="s">
        <v>56</v>
      </c>
      <c r="N15" s="23">
        <f t="shared" si="51"/>
        <v>143268.99707000001</v>
      </c>
      <c r="O15" s="23">
        <f t="shared" si="52"/>
        <v>110</v>
      </c>
      <c r="P15" s="24">
        <f t="shared" si="53"/>
        <v>7.6778648730440227E-2</v>
      </c>
      <c r="Q15" s="31">
        <v>0</v>
      </c>
      <c r="R15" s="31">
        <v>0</v>
      </c>
      <c r="S15" s="31" t="s">
        <v>56</v>
      </c>
      <c r="T15" s="30">
        <v>0</v>
      </c>
      <c r="U15" s="31">
        <v>0</v>
      </c>
      <c r="V15" s="31" t="s">
        <v>56</v>
      </c>
      <c r="W15" s="30">
        <v>0</v>
      </c>
      <c r="X15" s="31">
        <v>0</v>
      </c>
      <c r="Y15" s="31" t="s">
        <v>56</v>
      </c>
      <c r="Z15" s="30">
        <v>0</v>
      </c>
      <c r="AA15" s="31">
        <v>0</v>
      </c>
      <c r="AB15" s="31" t="s">
        <v>56</v>
      </c>
      <c r="AC15" s="30">
        <f>76077600/1000</f>
        <v>76077.600000000006</v>
      </c>
      <c r="AD15" s="31">
        <v>0</v>
      </c>
      <c r="AE15" s="31">
        <v>0</v>
      </c>
      <c r="AF15" s="30">
        <f>28596100/1000</f>
        <v>28596.1</v>
      </c>
      <c r="AG15" s="31">
        <v>0</v>
      </c>
      <c r="AH15" s="31">
        <f t="shared" si="8"/>
        <v>0</v>
      </c>
      <c r="AI15" s="30">
        <v>0</v>
      </c>
      <c r="AJ15" s="30">
        <v>0</v>
      </c>
      <c r="AK15" s="31" t="s">
        <v>56</v>
      </c>
      <c r="AL15" s="31">
        <f>807400/1000</f>
        <v>807.4</v>
      </c>
      <c r="AM15" s="31">
        <v>0</v>
      </c>
      <c r="AN15" s="31">
        <v>0</v>
      </c>
      <c r="AO15" s="31">
        <v>0</v>
      </c>
      <c r="AP15" s="31">
        <v>0</v>
      </c>
      <c r="AQ15" s="31" t="s">
        <v>56</v>
      </c>
      <c r="AR15" s="31">
        <v>0</v>
      </c>
      <c r="AS15" s="31">
        <v>0</v>
      </c>
      <c r="AT15" s="31" t="s">
        <v>56</v>
      </c>
      <c r="AU15" s="31">
        <v>0</v>
      </c>
      <c r="AV15" s="31">
        <v>0</v>
      </c>
      <c r="AW15" s="31" t="s">
        <v>56</v>
      </c>
      <c r="AX15" s="30">
        <v>0</v>
      </c>
      <c r="AY15" s="31">
        <v>0</v>
      </c>
      <c r="AZ15" s="31" t="s">
        <v>56</v>
      </c>
      <c r="BA15" s="30">
        <v>0</v>
      </c>
      <c r="BB15" s="31">
        <v>0</v>
      </c>
      <c r="BC15" s="31" t="s">
        <v>56</v>
      </c>
      <c r="BD15" s="30">
        <v>0</v>
      </c>
      <c r="BE15" s="31">
        <v>0</v>
      </c>
      <c r="BF15" s="31" t="s">
        <v>56</v>
      </c>
      <c r="BG15" s="30">
        <v>0</v>
      </c>
      <c r="BH15" s="31">
        <v>0</v>
      </c>
      <c r="BI15" s="31" t="s">
        <v>56</v>
      </c>
      <c r="BJ15" s="30">
        <v>0</v>
      </c>
      <c r="BK15" s="31">
        <v>0</v>
      </c>
      <c r="BL15" s="31" t="s">
        <v>56</v>
      </c>
      <c r="BM15" s="30">
        <f>599752.74/1000</f>
        <v>599.75274000000002</v>
      </c>
      <c r="BN15" s="31">
        <v>0</v>
      </c>
      <c r="BO15" s="31">
        <f>BN15/BM15%</f>
        <v>0</v>
      </c>
      <c r="BP15" s="30">
        <v>0</v>
      </c>
      <c r="BQ15" s="31">
        <v>0</v>
      </c>
      <c r="BR15" s="31" t="s">
        <v>56</v>
      </c>
      <c r="BS15" s="30">
        <v>0</v>
      </c>
      <c r="BT15" s="31">
        <v>0</v>
      </c>
      <c r="BU15" s="31" t="s">
        <v>56</v>
      </c>
      <c r="BV15" s="31">
        <v>0</v>
      </c>
      <c r="BW15" s="31">
        <v>0</v>
      </c>
      <c r="BX15" s="31" t="s">
        <v>56</v>
      </c>
      <c r="BY15" s="31">
        <v>2679.2</v>
      </c>
      <c r="BZ15" s="31">
        <v>110</v>
      </c>
      <c r="CA15" s="32">
        <f t="shared" si="54"/>
        <v>4.1057031949835769</v>
      </c>
      <c r="CB15" s="30">
        <v>0</v>
      </c>
      <c r="CC15" s="30">
        <v>0</v>
      </c>
      <c r="CD15" s="33" t="s">
        <v>56</v>
      </c>
      <c r="CE15" s="30">
        <v>0</v>
      </c>
      <c r="CF15" s="30">
        <v>0</v>
      </c>
      <c r="CG15" s="33" t="s">
        <v>56</v>
      </c>
      <c r="CH15" s="33">
        <v>0</v>
      </c>
      <c r="CI15" s="33">
        <v>0</v>
      </c>
      <c r="CJ15" s="33" t="s">
        <v>56</v>
      </c>
      <c r="CK15" s="30">
        <v>0</v>
      </c>
      <c r="CL15" s="30">
        <v>0</v>
      </c>
      <c r="CM15" s="33" t="s">
        <v>56</v>
      </c>
      <c r="CN15" s="30">
        <f>20052558.6/1000</f>
        <v>20052.5586</v>
      </c>
      <c r="CO15" s="33">
        <v>0</v>
      </c>
      <c r="CP15" s="33">
        <v>0</v>
      </c>
      <c r="CQ15" s="33">
        <f>174485.73/1000</f>
        <v>174.48573000000002</v>
      </c>
      <c r="CR15" s="33">
        <v>0</v>
      </c>
      <c r="CS15" s="33">
        <v>0</v>
      </c>
      <c r="CT15" s="33">
        <v>0</v>
      </c>
      <c r="CU15" s="33">
        <v>0</v>
      </c>
      <c r="CV15" s="33" t="s">
        <v>56</v>
      </c>
      <c r="CW15" s="33">
        <v>0</v>
      </c>
      <c r="CX15" s="33">
        <v>0</v>
      </c>
      <c r="CY15" s="33" t="s">
        <v>56</v>
      </c>
      <c r="CZ15" s="33">
        <v>0</v>
      </c>
      <c r="DA15" s="33">
        <v>0</v>
      </c>
      <c r="DB15" s="33" t="s">
        <v>56</v>
      </c>
      <c r="DC15" s="33">
        <v>0</v>
      </c>
      <c r="DD15" s="33">
        <v>0</v>
      </c>
      <c r="DE15" s="33" t="s">
        <v>56</v>
      </c>
      <c r="DF15" s="33">
        <v>0</v>
      </c>
      <c r="DG15" s="33">
        <v>0</v>
      </c>
      <c r="DH15" s="33" t="s">
        <v>56</v>
      </c>
      <c r="DI15" s="33">
        <f>14181900/1000</f>
        <v>14181.9</v>
      </c>
      <c r="DJ15" s="33">
        <v>0</v>
      </c>
      <c r="DK15" s="33">
        <v>0</v>
      </c>
      <c r="DL15" s="33">
        <f>100000/1000</f>
        <v>100</v>
      </c>
      <c r="DM15" s="33">
        <v>0</v>
      </c>
      <c r="DN15" s="33">
        <v>0</v>
      </c>
      <c r="DO15" s="33">
        <v>0</v>
      </c>
      <c r="DP15" s="33">
        <v>0</v>
      </c>
      <c r="DQ15" s="33" t="s">
        <v>56</v>
      </c>
      <c r="DR15" s="33">
        <v>0</v>
      </c>
      <c r="DS15" s="33">
        <v>0</v>
      </c>
      <c r="DT15" s="33" t="s">
        <v>56</v>
      </c>
      <c r="DU15" s="33">
        <v>0</v>
      </c>
      <c r="DV15" s="33">
        <v>0</v>
      </c>
      <c r="DW15" s="33" t="s">
        <v>56</v>
      </c>
      <c r="DX15" s="30">
        <v>0</v>
      </c>
      <c r="DY15" s="31">
        <v>0</v>
      </c>
      <c r="DZ15" s="33" t="s">
        <v>56</v>
      </c>
      <c r="EA15" s="30">
        <v>0</v>
      </c>
      <c r="EB15" s="31">
        <v>0</v>
      </c>
      <c r="EC15" s="33" t="s">
        <v>56</v>
      </c>
      <c r="ED15" s="23">
        <f t="shared" si="55"/>
        <v>167753.76419999995</v>
      </c>
      <c r="EE15" s="23">
        <f t="shared" si="56"/>
        <v>47026.046520000004</v>
      </c>
      <c r="EF15" s="24">
        <f t="shared" si="57"/>
        <v>28.032781704936561</v>
      </c>
      <c r="EG15" s="34">
        <f>1154500/1000</f>
        <v>1154.5</v>
      </c>
      <c r="EH15" s="34">
        <v>222</v>
      </c>
      <c r="EI15" s="31">
        <f t="shared" si="26"/>
        <v>19.229103508012127</v>
      </c>
      <c r="EJ15" s="34">
        <v>0</v>
      </c>
      <c r="EK15" s="31">
        <v>0</v>
      </c>
      <c r="EL15" s="31" t="s">
        <v>56</v>
      </c>
      <c r="EM15" s="34">
        <f>278/1000</f>
        <v>0.27800000000000002</v>
      </c>
      <c r="EN15" s="31">
        <v>0</v>
      </c>
      <c r="EO15" s="31">
        <f t="shared" si="29"/>
        <v>0</v>
      </c>
      <c r="EP15" s="34">
        <v>48654</v>
      </c>
      <c r="EQ15" s="31">
        <v>15131.272000000001</v>
      </c>
      <c r="ER15" s="31">
        <f t="shared" si="58"/>
        <v>31.099749249804745</v>
      </c>
      <c r="ES15" s="31">
        <v>99646.7</v>
      </c>
      <c r="ET15" s="31">
        <v>28431.9</v>
      </c>
      <c r="EU15" s="36">
        <f t="shared" si="59"/>
        <v>28.532706050476335</v>
      </c>
      <c r="EV15" s="34">
        <f>2268000/1000</f>
        <v>2268</v>
      </c>
      <c r="EW15" s="33">
        <v>372</v>
      </c>
      <c r="EX15" s="33">
        <f t="shared" si="60"/>
        <v>16.402116402116402</v>
      </c>
      <c r="EY15" s="34">
        <f>685900/1000</f>
        <v>685.9</v>
      </c>
      <c r="EZ15" s="31">
        <v>0</v>
      </c>
      <c r="FA15" s="31">
        <f t="shared" si="30"/>
        <v>0</v>
      </c>
      <c r="FB15" s="34">
        <v>0</v>
      </c>
      <c r="FC15" s="31">
        <v>0</v>
      </c>
      <c r="FD15" s="31" t="s">
        <v>56</v>
      </c>
      <c r="FE15" s="34">
        <f>27300/1000</f>
        <v>27.3</v>
      </c>
      <c r="FF15" s="31">
        <v>0</v>
      </c>
      <c r="FG15" s="31">
        <f t="shared" ref="FG15:FG29" si="77">FF15/FE15%</f>
        <v>0</v>
      </c>
      <c r="FH15" s="34">
        <f>589915/1000</f>
        <v>589.91499999999996</v>
      </c>
      <c r="FI15" s="31">
        <f>58695.4/1000</f>
        <v>58.695399999999999</v>
      </c>
      <c r="FJ15" s="31">
        <f t="shared" si="31"/>
        <v>9.9498063280303093</v>
      </c>
      <c r="FK15" s="34">
        <f>87500/1000</f>
        <v>87.5</v>
      </c>
      <c r="FL15" s="31">
        <v>21.9</v>
      </c>
      <c r="FM15" s="31">
        <f t="shared" si="33"/>
        <v>25.028571428571428</v>
      </c>
      <c r="FN15" s="34">
        <f>3100/1000</f>
        <v>3.1</v>
      </c>
      <c r="FO15" s="31">
        <v>0</v>
      </c>
      <c r="FP15" s="31">
        <f t="shared" si="34"/>
        <v>0</v>
      </c>
      <c r="FQ15" s="34">
        <f>31800/1000</f>
        <v>31.8</v>
      </c>
      <c r="FR15" s="31">
        <v>8.1</v>
      </c>
      <c r="FS15" s="31">
        <f t="shared" si="69"/>
        <v>25.471698113207545</v>
      </c>
      <c r="FT15" s="34">
        <v>0</v>
      </c>
      <c r="FU15" s="31">
        <v>0</v>
      </c>
      <c r="FV15" s="31" t="s">
        <v>56</v>
      </c>
      <c r="FW15" s="34">
        <f>663900/1000</f>
        <v>663.9</v>
      </c>
      <c r="FX15" s="31">
        <v>149.4</v>
      </c>
      <c r="FY15" s="31">
        <f t="shared" si="36"/>
        <v>22.503389064618169</v>
      </c>
      <c r="FZ15" s="34">
        <f>252900/1000</f>
        <v>252.9</v>
      </c>
      <c r="GA15" s="31">
        <v>64.5</v>
      </c>
      <c r="GB15" s="31">
        <f t="shared" si="37"/>
        <v>25.504151838671412</v>
      </c>
      <c r="GC15" s="34">
        <f>371571.2/1000</f>
        <v>371.57120000000003</v>
      </c>
      <c r="GD15" s="31">
        <f>92892/1000</f>
        <v>92.891999999999996</v>
      </c>
      <c r="GE15" s="31">
        <f t="shared" ref="GE15:GE31" si="78">GD15/GC15%</f>
        <v>24.999784698060555</v>
      </c>
      <c r="GF15" s="35">
        <v>0</v>
      </c>
      <c r="GG15" s="31">
        <v>0</v>
      </c>
      <c r="GH15" s="31" t="s">
        <v>56</v>
      </c>
      <c r="GI15" s="35">
        <v>1512.5</v>
      </c>
      <c r="GJ15" s="31">
        <v>341.38932</v>
      </c>
      <c r="GK15" s="31">
        <f t="shared" si="40"/>
        <v>22.5711947107438</v>
      </c>
      <c r="GL15" s="34">
        <v>0</v>
      </c>
      <c r="GM15" s="34">
        <v>0</v>
      </c>
      <c r="GN15" s="31" t="s">
        <v>56</v>
      </c>
      <c r="GO15" s="34">
        <v>0</v>
      </c>
      <c r="GP15" s="31">
        <v>0</v>
      </c>
      <c r="GQ15" s="31" t="s">
        <v>56</v>
      </c>
      <c r="GR15" s="34">
        <f>190300/1000</f>
        <v>190.3</v>
      </c>
      <c r="GS15" s="31">
        <v>24</v>
      </c>
      <c r="GT15" s="31">
        <f t="shared" si="75"/>
        <v>12.611665790856541</v>
      </c>
      <c r="GU15" s="34">
        <v>0</v>
      </c>
      <c r="GV15" s="31">
        <v>0</v>
      </c>
      <c r="GW15" s="31" t="s">
        <v>56</v>
      </c>
      <c r="GX15" s="34">
        <f>181800/1000</f>
        <v>181.8</v>
      </c>
      <c r="GY15" s="31">
        <v>0</v>
      </c>
      <c r="GZ15" s="31">
        <v>0</v>
      </c>
      <c r="HA15" s="31">
        <f>(153800+10131000)/1000</f>
        <v>10284.799999999999</v>
      </c>
      <c r="HB15" s="31">
        <f>2012397.8/1000</f>
        <v>2012.3978</v>
      </c>
      <c r="HC15" s="36">
        <f t="shared" si="61"/>
        <v>19.566717874922215</v>
      </c>
      <c r="HD15" s="34">
        <f>1147000/1000</f>
        <v>1147</v>
      </c>
      <c r="HE15" s="31">
        <v>95.6</v>
      </c>
      <c r="HF15" s="31">
        <f t="shared" si="62"/>
        <v>8.3347863993025282</v>
      </c>
      <c r="HG15" s="28">
        <f t="shared" si="63"/>
        <v>3356.9664799999996</v>
      </c>
      <c r="HH15" s="28">
        <f t="shared" si="64"/>
        <v>0</v>
      </c>
      <c r="HI15" s="26">
        <f t="shared" si="46"/>
        <v>0</v>
      </c>
      <c r="HJ15" s="37">
        <v>0</v>
      </c>
      <c r="HK15" s="37">
        <v>0</v>
      </c>
      <c r="HL15" s="37" t="s">
        <v>56</v>
      </c>
      <c r="HM15" s="33">
        <v>0</v>
      </c>
      <c r="HN15" s="33">
        <v>0</v>
      </c>
      <c r="HO15" s="33" t="s">
        <v>56</v>
      </c>
      <c r="HP15" s="33">
        <f>2554700/1000</f>
        <v>2554.6999999999998</v>
      </c>
      <c r="HQ15" s="37">
        <v>0</v>
      </c>
      <c r="HR15" s="37">
        <v>0</v>
      </c>
      <c r="HS15" s="37">
        <v>0</v>
      </c>
      <c r="HT15" s="37">
        <v>0</v>
      </c>
      <c r="HU15" s="37" t="s">
        <v>56</v>
      </c>
      <c r="HV15" s="30">
        <v>0</v>
      </c>
      <c r="HW15" s="31">
        <v>0</v>
      </c>
      <c r="HX15" s="31" t="s">
        <v>56</v>
      </c>
      <c r="HY15" s="30">
        <f>794243.82/1000</f>
        <v>794.24381999999991</v>
      </c>
      <c r="HZ15" s="31">
        <v>0</v>
      </c>
      <c r="IA15" s="31">
        <v>0</v>
      </c>
      <c r="IB15" s="31">
        <v>0</v>
      </c>
      <c r="IC15" s="31">
        <v>0</v>
      </c>
      <c r="ID15" s="31" t="s">
        <v>56</v>
      </c>
      <c r="IE15" s="31">
        <v>0</v>
      </c>
      <c r="IF15" s="31">
        <v>0</v>
      </c>
      <c r="IG15" s="31" t="s">
        <v>56</v>
      </c>
      <c r="IH15" s="31">
        <f>8022.66/1000</f>
        <v>8.0226600000000001</v>
      </c>
      <c r="II15" s="31">
        <v>0</v>
      </c>
      <c r="IJ15" s="31">
        <v>0</v>
      </c>
      <c r="IK15" s="31">
        <v>0</v>
      </c>
      <c r="IL15" s="31">
        <v>0</v>
      </c>
      <c r="IM15" s="31" t="s">
        <v>56</v>
      </c>
      <c r="IN15" s="31">
        <v>0</v>
      </c>
      <c r="IO15" s="31">
        <v>0</v>
      </c>
      <c r="IP15" s="31" t="s">
        <v>56</v>
      </c>
      <c r="IQ15" s="31">
        <v>0</v>
      </c>
      <c r="IR15" s="31">
        <v>0</v>
      </c>
      <c r="IS15" s="31" t="s">
        <v>56</v>
      </c>
      <c r="IT15" s="11">
        <f t="shared" si="65"/>
        <v>413023.72774999996</v>
      </c>
      <c r="IU15" s="10">
        <f t="shared" si="66"/>
        <v>47136.046520000004</v>
      </c>
      <c r="IV15" s="10">
        <f t="shared" si="67"/>
        <v>11.412430655444348</v>
      </c>
      <c r="IW15" s="16"/>
      <c r="IX15" s="16"/>
      <c r="IZ15" s="18"/>
    </row>
    <row r="16" spans="1:260" x14ac:dyDescent="0.2">
      <c r="A16" s="13" t="s">
        <v>17</v>
      </c>
      <c r="B16" s="23">
        <f t="shared" si="47"/>
        <v>56253</v>
      </c>
      <c r="C16" s="23">
        <f t="shared" si="48"/>
        <v>20782</v>
      </c>
      <c r="D16" s="24">
        <f t="shared" si="49"/>
        <v>36.943807441380905</v>
      </c>
      <c r="E16" s="30">
        <v>56253</v>
      </c>
      <c r="F16" s="31">
        <v>20782</v>
      </c>
      <c r="G16" s="31">
        <f t="shared" si="50"/>
        <v>36.943807441380905</v>
      </c>
      <c r="H16" s="30">
        <v>0</v>
      </c>
      <c r="I16" s="30">
        <v>0</v>
      </c>
      <c r="J16" s="31" t="s">
        <v>56</v>
      </c>
      <c r="K16" s="31">
        <v>0</v>
      </c>
      <c r="L16" s="31">
        <v>0</v>
      </c>
      <c r="M16" s="31" t="s">
        <v>56</v>
      </c>
      <c r="N16" s="23">
        <f t="shared" si="51"/>
        <v>28162.962789999998</v>
      </c>
      <c r="O16" s="23">
        <f t="shared" si="52"/>
        <v>0</v>
      </c>
      <c r="P16" s="24">
        <f t="shared" si="53"/>
        <v>0</v>
      </c>
      <c r="Q16" s="31">
        <f>15946030/1000</f>
        <v>15946.03</v>
      </c>
      <c r="R16" s="31">
        <v>0</v>
      </c>
      <c r="S16" s="31">
        <f t="shared" si="68"/>
        <v>0</v>
      </c>
      <c r="T16" s="30">
        <v>0</v>
      </c>
      <c r="U16" s="31">
        <v>0</v>
      </c>
      <c r="V16" s="31" t="s">
        <v>56</v>
      </c>
      <c r="W16" s="30">
        <v>0</v>
      </c>
      <c r="X16" s="31">
        <v>0</v>
      </c>
      <c r="Y16" s="31" t="s">
        <v>56</v>
      </c>
      <c r="Z16" s="30">
        <v>0</v>
      </c>
      <c r="AA16" s="31">
        <v>0</v>
      </c>
      <c r="AB16" s="31" t="s">
        <v>56</v>
      </c>
      <c r="AC16" s="30">
        <v>0</v>
      </c>
      <c r="AD16" s="31">
        <v>0</v>
      </c>
      <c r="AE16" s="31" t="s">
        <v>56</v>
      </c>
      <c r="AF16" s="30">
        <v>0</v>
      </c>
      <c r="AG16" s="31">
        <v>0</v>
      </c>
      <c r="AH16" s="31" t="s">
        <v>56</v>
      </c>
      <c r="AI16" s="30">
        <v>0</v>
      </c>
      <c r="AJ16" s="30">
        <v>0</v>
      </c>
      <c r="AK16" s="31" t="s">
        <v>56</v>
      </c>
      <c r="AL16" s="31">
        <f>1093000/1000</f>
        <v>1093</v>
      </c>
      <c r="AM16" s="31">
        <v>0</v>
      </c>
      <c r="AN16" s="31">
        <v>0</v>
      </c>
      <c r="AO16" s="31">
        <v>0</v>
      </c>
      <c r="AP16" s="31">
        <v>0</v>
      </c>
      <c r="AQ16" s="31" t="s">
        <v>56</v>
      </c>
      <c r="AR16" s="31">
        <v>0</v>
      </c>
      <c r="AS16" s="31">
        <v>0</v>
      </c>
      <c r="AT16" s="31" t="s">
        <v>56</v>
      </c>
      <c r="AU16" s="31">
        <f>1660244.75/1000</f>
        <v>1660.2447500000001</v>
      </c>
      <c r="AV16" s="31">
        <v>0</v>
      </c>
      <c r="AW16" s="31">
        <v>0</v>
      </c>
      <c r="AX16" s="30">
        <v>0</v>
      </c>
      <c r="AY16" s="31">
        <v>0</v>
      </c>
      <c r="AZ16" s="31" t="s">
        <v>56</v>
      </c>
      <c r="BA16" s="30">
        <v>0</v>
      </c>
      <c r="BB16" s="31">
        <v>0</v>
      </c>
      <c r="BC16" s="31" t="s">
        <v>56</v>
      </c>
      <c r="BD16" s="30">
        <f>145389.44/1000</f>
        <v>145.38944000000001</v>
      </c>
      <c r="BE16" s="31">
        <v>0</v>
      </c>
      <c r="BF16" s="31">
        <v>0</v>
      </c>
      <c r="BG16" s="30">
        <v>0</v>
      </c>
      <c r="BH16" s="31">
        <v>0</v>
      </c>
      <c r="BI16" s="31" t="s">
        <v>56</v>
      </c>
      <c r="BJ16" s="30">
        <v>0</v>
      </c>
      <c r="BK16" s="31">
        <v>0</v>
      </c>
      <c r="BL16" s="31" t="s">
        <v>56</v>
      </c>
      <c r="BM16" s="30">
        <v>0</v>
      </c>
      <c r="BN16" s="31">
        <v>0</v>
      </c>
      <c r="BO16" s="31" t="s">
        <v>56</v>
      </c>
      <c r="BP16" s="30">
        <v>0</v>
      </c>
      <c r="BQ16" s="31">
        <v>0</v>
      </c>
      <c r="BR16" s="31" t="s">
        <v>56</v>
      </c>
      <c r="BS16" s="30">
        <v>0</v>
      </c>
      <c r="BT16" s="31">
        <v>0</v>
      </c>
      <c r="BU16" s="31" t="s">
        <v>56</v>
      </c>
      <c r="BV16" s="31">
        <v>0</v>
      </c>
      <c r="BW16" s="31">
        <v>0</v>
      </c>
      <c r="BX16" s="31" t="s">
        <v>56</v>
      </c>
      <c r="BY16" s="31">
        <v>0</v>
      </c>
      <c r="BZ16" s="31">
        <v>0</v>
      </c>
      <c r="CA16" s="32" t="s">
        <v>56</v>
      </c>
      <c r="CB16" s="30">
        <v>0</v>
      </c>
      <c r="CC16" s="30">
        <v>0</v>
      </c>
      <c r="CD16" s="33" t="s">
        <v>56</v>
      </c>
      <c r="CE16" s="30">
        <v>0</v>
      </c>
      <c r="CF16" s="30">
        <v>0</v>
      </c>
      <c r="CG16" s="33" t="s">
        <v>56</v>
      </c>
      <c r="CH16" s="33">
        <v>0</v>
      </c>
      <c r="CI16" s="33">
        <v>0</v>
      </c>
      <c r="CJ16" s="33" t="s">
        <v>56</v>
      </c>
      <c r="CK16" s="30">
        <v>0</v>
      </c>
      <c r="CL16" s="30">
        <v>0</v>
      </c>
      <c r="CM16" s="33" t="s">
        <v>56</v>
      </c>
      <c r="CN16" s="30">
        <f>448175.6/1000</f>
        <v>448.17559999999997</v>
      </c>
      <c r="CO16" s="33">
        <v>0</v>
      </c>
      <c r="CP16" s="33">
        <v>0</v>
      </c>
      <c r="CQ16" s="33">
        <v>0</v>
      </c>
      <c r="CR16" s="33">
        <v>0</v>
      </c>
      <c r="CS16" s="33" t="s">
        <v>56</v>
      </c>
      <c r="CT16" s="33">
        <f>145500/1000</f>
        <v>145.5</v>
      </c>
      <c r="CU16" s="33">
        <v>0</v>
      </c>
      <c r="CV16" s="33">
        <v>0</v>
      </c>
      <c r="CW16" s="33">
        <v>0</v>
      </c>
      <c r="CX16" s="33">
        <v>0</v>
      </c>
      <c r="CY16" s="33" t="s">
        <v>56</v>
      </c>
      <c r="CZ16" s="33">
        <f>2035723/1000</f>
        <v>2035.723</v>
      </c>
      <c r="DA16" s="33">
        <v>0</v>
      </c>
      <c r="DB16" s="33">
        <f t="shared" si="71"/>
        <v>0</v>
      </c>
      <c r="DC16" s="33">
        <v>0</v>
      </c>
      <c r="DD16" s="33">
        <v>0</v>
      </c>
      <c r="DE16" s="33" t="s">
        <v>56</v>
      </c>
      <c r="DF16" s="33">
        <v>0</v>
      </c>
      <c r="DG16" s="33">
        <v>0</v>
      </c>
      <c r="DH16" s="33" t="s">
        <v>56</v>
      </c>
      <c r="DI16" s="33">
        <f>6688900/1000</f>
        <v>6688.9</v>
      </c>
      <c r="DJ16" s="33">
        <v>0</v>
      </c>
      <c r="DK16" s="33">
        <v>0</v>
      </c>
      <c r="DL16" s="33">
        <v>0</v>
      </c>
      <c r="DM16" s="33">
        <v>0</v>
      </c>
      <c r="DN16" s="33" t="s">
        <v>56</v>
      </c>
      <c r="DO16" s="33">
        <v>0</v>
      </c>
      <c r="DP16" s="33">
        <v>0</v>
      </c>
      <c r="DQ16" s="33" t="s">
        <v>56</v>
      </c>
      <c r="DR16" s="33">
        <v>0</v>
      </c>
      <c r="DS16" s="33">
        <v>0</v>
      </c>
      <c r="DT16" s="33" t="s">
        <v>56</v>
      </c>
      <c r="DU16" s="33">
        <v>0</v>
      </c>
      <c r="DV16" s="33">
        <v>0</v>
      </c>
      <c r="DW16" s="33" t="s">
        <v>56</v>
      </c>
      <c r="DX16" s="30">
        <v>0</v>
      </c>
      <c r="DY16" s="31">
        <v>0</v>
      </c>
      <c r="DZ16" s="33" t="s">
        <v>56</v>
      </c>
      <c r="EA16" s="30">
        <v>0</v>
      </c>
      <c r="EB16" s="31">
        <v>0</v>
      </c>
      <c r="EC16" s="33" t="s">
        <v>56</v>
      </c>
      <c r="ED16" s="23">
        <f t="shared" si="55"/>
        <v>120694.6</v>
      </c>
      <c r="EE16" s="23">
        <f t="shared" si="56"/>
        <v>31377.645290000008</v>
      </c>
      <c r="EF16" s="24">
        <f t="shared" si="57"/>
        <v>25.997555226165879</v>
      </c>
      <c r="EG16" s="34">
        <f>906100/1000</f>
        <v>906.1</v>
      </c>
      <c r="EH16" s="34">
        <f>160407.24/1000</f>
        <v>160.40724</v>
      </c>
      <c r="EI16" s="31">
        <f t="shared" si="26"/>
        <v>17.703039399624767</v>
      </c>
      <c r="EJ16" s="34">
        <v>0</v>
      </c>
      <c r="EK16" s="31">
        <v>0</v>
      </c>
      <c r="EL16" s="31" t="s">
        <v>56</v>
      </c>
      <c r="EM16" s="34">
        <v>0</v>
      </c>
      <c r="EN16" s="31">
        <v>0</v>
      </c>
      <c r="EO16" s="31" t="s">
        <v>56</v>
      </c>
      <c r="EP16" s="34">
        <v>19272.7</v>
      </c>
      <c r="EQ16" s="31">
        <v>4397.1940000000004</v>
      </c>
      <c r="ER16" s="31">
        <f t="shared" si="58"/>
        <v>22.815661531596508</v>
      </c>
      <c r="ES16" s="31">
        <v>85056.1</v>
      </c>
      <c r="ET16" s="31">
        <v>23909.7</v>
      </c>
      <c r="EU16" s="36">
        <f t="shared" si="59"/>
        <v>28.110505889642244</v>
      </c>
      <c r="EV16" s="34">
        <f>5074700/1000</f>
        <v>5074.7</v>
      </c>
      <c r="EW16" s="33">
        <v>1079</v>
      </c>
      <c r="EX16" s="33">
        <f t="shared" si="60"/>
        <v>21.262340630973259</v>
      </c>
      <c r="EY16" s="34">
        <f>938500/1000</f>
        <v>938.5</v>
      </c>
      <c r="EZ16" s="31">
        <v>0</v>
      </c>
      <c r="FA16" s="31">
        <f t="shared" si="30"/>
        <v>0</v>
      </c>
      <c r="FB16" s="34">
        <v>0</v>
      </c>
      <c r="FC16" s="31">
        <v>0</v>
      </c>
      <c r="FD16" s="31" t="s">
        <v>56</v>
      </c>
      <c r="FE16" s="34">
        <v>0</v>
      </c>
      <c r="FF16" s="31">
        <v>0</v>
      </c>
      <c r="FG16" s="31" t="s">
        <v>56</v>
      </c>
      <c r="FH16" s="34">
        <v>0</v>
      </c>
      <c r="FI16" s="31">
        <v>0</v>
      </c>
      <c r="FJ16" s="31" t="s">
        <v>56</v>
      </c>
      <c r="FK16" s="34">
        <f>192500/1000</f>
        <v>192.5</v>
      </c>
      <c r="FL16" s="31">
        <v>48</v>
      </c>
      <c r="FM16" s="31">
        <f t="shared" si="33"/>
        <v>24.935064935064936</v>
      </c>
      <c r="FN16" s="34">
        <f>300/1000</f>
        <v>0.3</v>
      </c>
      <c r="FO16" s="31">
        <v>0</v>
      </c>
      <c r="FP16" s="31">
        <f t="shared" si="34"/>
        <v>0</v>
      </c>
      <c r="FQ16" s="34">
        <f>63600/1000</f>
        <v>63.6</v>
      </c>
      <c r="FR16" s="31">
        <v>15.9</v>
      </c>
      <c r="FS16" s="31">
        <f t="shared" si="69"/>
        <v>25</v>
      </c>
      <c r="FT16" s="34">
        <f>500/1000</f>
        <v>0.5</v>
      </c>
      <c r="FU16" s="31">
        <v>0</v>
      </c>
      <c r="FV16" s="31">
        <f t="shared" si="73"/>
        <v>0</v>
      </c>
      <c r="FW16" s="34">
        <f>530800/1000</f>
        <v>530.79999999999995</v>
      </c>
      <c r="FX16" s="31">
        <f>106562/1000</f>
        <v>106.562</v>
      </c>
      <c r="FY16" s="31">
        <f t="shared" si="36"/>
        <v>20.075734740015072</v>
      </c>
      <c r="FZ16" s="34">
        <f>198400/1000</f>
        <v>198.4</v>
      </c>
      <c r="GA16" s="31">
        <f>22061/1000</f>
        <v>22.061</v>
      </c>
      <c r="GB16" s="31">
        <f t="shared" si="37"/>
        <v>11.11945564516129</v>
      </c>
      <c r="GC16" s="34">
        <v>0</v>
      </c>
      <c r="GD16" s="31">
        <v>0</v>
      </c>
      <c r="GE16" s="31" t="s">
        <v>56</v>
      </c>
      <c r="GF16" s="35">
        <v>0</v>
      </c>
      <c r="GG16" s="31">
        <v>0</v>
      </c>
      <c r="GH16" s="31" t="s">
        <v>56</v>
      </c>
      <c r="GI16" s="35">
        <v>1495.5</v>
      </c>
      <c r="GJ16" s="31">
        <v>364.95</v>
      </c>
      <c r="GK16" s="31">
        <f t="shared" si="40"/>
        <v>24.40320962888666</v>
      </c>
      <c r="GL16" s="34">
        <v>0</v>
      </c>
      <c r="GM16" s="34">
        <v>0</v>
      </c>
      <c r="GN16" s="31" t="s">
        <v>56</v>
      </c>
      <c r="GO16" s="34">
        <v>0</v>
      </c>
      <c r="GP16" s="31">
        <v>0</v>
      </c>
      <c r="GQ16" s="31" t="s">
        <v>56</v>
      </c>
      <c r="GR16" s="34">
        <f>333200/1000</f>
        <v>333.2</v>
      </c>
      <c r="GS16" s="31">
        <v>18</v>
      </c>
      <c r="GT16" s="31">
        <f t="shared" si="75"/>
        <v>5.4021608643457384</v>
      </c>
      <c r="GU16" s="34">
        <f>660000/1000</f>
        <v>660</v>
      </c>
      <c r="GV16" s="31">
        <v>0</v>
      </c>
      <c r="GW16" s="31">
        <f t="shared" si="43"/>
        <v>0</v>
      </c>
      <c r="GX16" s="34">
        <f>100700/1000</f>
        <v>100.7</v>
      </c>
      <c r="GY16" s="31">
        <v>0</v>
      </c>
      <c r="GZ16" s="31">
        <v>0</v>
      </c>
      <c r="HA16" s="31">
        <f>(241800+4533200)/1000</f>
        <v>4775</v>
      </c>
      <c r="HB16" s="31">
        <f>979971.05/1000</f>
        <v>979.97104999999999</v>
      </c>
      <c r="HC16" s="36">
        <f t="shared" si="61"/>
        <v>20.522953926701572</v>
      </c>
      <c r="HD16" s="34">
        <f>1096000/1000</f>
        <v>1096</v>
      </c>
      <c r="HE16" s="31">
        <v>275.89999999999998</v>
      </c>
      <c r="HF16" s="31">
        <f t="shared" si="62"/>
        <v>25.173357664233574</v>
      </c>
      <c r="HG16" s="28">
        <f t="shared" si="63"/>
        <v>2438.6</v>
      </c>
      <c r="HH16" s="28">
        <f t="shared" si="64"/>
        <v>0</v>
      </c>
      <c r="HI16" s="26">
        <f t="shared" si="46"/>
        <v>0</v>
      </c>
      <c r="HJ16" s="37">
        <v>0</v>
      </c>
      <c r="HK16" s="37">
        <v>0</v>
      </c>
      <c r="HL16" s="37" t="s">
        <v>56</v>
      </c>
      <c r="HM16" s="33">
        <v>0</v>
      </c>
      <c r="HN16" s="33">
        <v>0</v>
      </c>
      <c r="HO16" s="33" t="s">
        <v>56</v>
      </c>
      <c r="HP16" s="33">
        <f>2438600/1000</f>
        <v>2438.6</v>
      </c>
      <c r="HQ16" s="37">
        <v>0</v>
      </c>
      <c r="HR16" s="37">
        <v>0</v>
      </c>
      <c r="HS16" s="37">
        <v>0</v>
      </c>
      <c r="HT16" s="37">
        <v>0</v>
      </c>
      <c r="HU16" s="37" t="s">
        <v>56</v>
      </c>
      <c r="HV16" s="30">
        <v>0</v>
      </c>
      <c r="HW16" s="31">
        <v>0</v>
      </c>
      <c r="HX16" s="31" t="s">
        <v>56</v>
      </c>
      <c r="HY16" s="30">
        <v>0</v>
      </c>
      <c r="HZ16" s="31">
        <v>0</v>
      </c>
      <c r="IA16" s="31" t="s">
        <v>56</v>
      </c>
      <c r="IB16" s="31">
        <v>0</v>
      </c>
      <c r="IC16" s="31">
        <v>0</v>
      </c>
      <c r="ID16" s="31" t="s">
        <v>56</v>
      </c>
      <c r="IE16" s="31">
        <v>0</v>
      </c>
      <c r="IF16" s="31">
        <v>0</v>
      </c>
      <c r="IG16" s="31" t="s">
        <v>56</v>
      </c>
      <c r="IH16" s="31">
        <v>0</v>
      </c>
      <c r="II16" s="31">
        <v>0</v>
      </c>
      <c r="IJ16" s="31" t="s">
        <v>56</v>
      </c>
      <c r="IK16" s="31">
        <v>0</v>
      </c>
      <c r="IL16" s="31">
        <v>0</v>
      </c>
      <c r="IM16" s="31" t="s">
        <v>56</v>
      </c>
      <c r="IN16" s="31">
        <v>0</v>
      </c>
      <c r="IO16" s="31">
        <v>0</v>
      </c>
      <c r="IP16" s="31" t="s">
        <v>56</v>
      </c>
      <c r="IQ16" s="31">
        <v>0</v>
      </c>
      <c r="IR16" s="31">
        <v>0</v>
      </c>
      <c r="IS16" s="31" t="s">
        <v>56</v>
      </c>
      <c r="IT16" s="11">
        <f t="shared" si="65"/>
        <v>207549.16279</v>
      </c>
      <c r="IU16" s="10">
        <f t="shared" si="66"/>
        <v>52159.645290000008</v>
      </c>
      <c r="IV16" s="10">
        <f t="shared" si="67"/>
        <v>25.131224134484022</v>
      </c>
      <c r="IW16" s="16"/>
      <c r="IX16" s="16"/>
      <c r="IZ16" s="18"/>
    </row>
    <row r="17" spans="1:260" x14ac:dyDescent="0.2">
      <c r="A17" s="13" t="s">
        <v>18</v>
      </c>
      <c r="B17" s="23">
        <f t="shared" si="47"/>
        <v>111968</v>
      </c>
      <c r="C17" s="23">
        <f t="shared" si="48"/>
        <v>39101</v>
      </c>
      <c r="D17" s="24">
        <f t="shared" si="49"/>
        <v>34.921584738496712</v>
      </c>
      <c r="E17" s="30">
        <v>111968</v>
      </c>
      <c r="F17" s="31">
        <v>39101</v>
      </c>
      <c r="G17" s="31">
        <f t="shared" si="50"/>
        <v>34.921584738496712</v>
      </c>
      <c r="H17" s="30">
        <v>0</v>
      </c>
      <c r="I17" s="30">
        <v>0</v>
      </c>
      <c r="J17" s="31" t="s">
        <v>56</v>
      </c>
      <c r="K17" s="31">
        <v>0</v>
      </c>
      <c r="L17" s="31">
        <v>0</v>
      </c>
      <c r="M17" s="31" t="s">
        <v>56</v>
      </c>
      <c r="N17" s="23">
        <f t="shared" si="51"/>
        <v>93009.39850000001</v>
      </c>
      <c r="O17" s="23">
        <f t="shared" si="52"/>
        <v>182</v>
      </c>
      <c r="P17" s="24">
        <f t="shared" si="53"/>
        <v>0.19567914956465393</v>
      </c>
      <c r="Q17" s="31">
        <f>15946030/1000</f>
        <v>15946.03</v>
      </c>
      <c r="R17" s="31">
        <v>0</v>
      </c>
      <c r="S17" s="31">
        <f t="shared" si="68"/>
        <v>0</v>
      </c>
      <c r="T17" s="30">
        <v>0</v>
      </c>
      <c r="U17" s="31">
        <v>0</v>
      </c>
      <c r="V17" s="31" t="s">
        <v>56</v>
      </c>
      <c r="W17" s="30">
        <v>0</v>
      </c>
      <c r="X17" s="31">
        <v>0</v>
      </c>
      <c r="Y17" s="31" t="s">
        <v>56</v>
      </c>
      <c r="Z17" s="30">
        <v>0</v>
      </c>
      <c r="AA17" s="31">
        <v>0</v>
      </c>
      <c r="AB17" s="31" t="s">
        <v>56</v>
      </c>
      <c r="AC17" s="30">
        <v>0</v>
      </c>
      <c r="AD17" s="31">
        <v>0</v>
      </c>
      <c r="AE17" s="31" t="s">
        <v>56</v>
      </c>
      <c r="AF17" s="30">
        <v>0</v>
      </c>
      <c r="AG17" s="31">
        <v>0</v>
      </c>
      <c r="AH17" s="31" t="s">
        <v>56</v>
      </c>
      <c r="AI17" s="30">
        <v>0</v>
      </c>
      <c r="AJ17" s="30">
        <v>0</v>
      </c>
      <c r="AK17" s="31" t="s">
        <v>56</v>
      </c>
      <c r="AL17" s="31">
        <f>3403000/1000</f>
        <v>3403</v>
      </c>
      <c r="AM17" s="31">
        <v>0</v>
      </c>
      <c r="AN17" s="31">
        <v>0</v>
      </c>
      <c r="AO17" s="31">
        <v>0</v>
      </c>
      <c r="AP17" s="31">
        <v>0</v>
      </c>
      <c r="AQ17" s="31" t="s">
        <v>56</v>
      </c>
      <c r="AR17" s="31">
        <v>0</v>
      </c>
      <c r="AS17" s="31">
        <v>0</v>
      </c>
      <c r="AT17" s="31" t="s">
        <v>56</v>
      </c>
      <c r="AU17" s="31">
        <v>0</v>
      </c>
      <c r="AV17" s="31">
        <v>0</v>
      </c>
      <c r="AW17" s="31" t="s">
        <v>56</v>
      </c>
      <c r="AX17" s="30">
        <v>0</v>
      </c>
      <c r="AY17" s="31">
        <v>0</v>
      </c>
      <c r="AZ17" s="31" t="s">
        <v>56</v>
      </c>
      <c r="BA17" s="30">
        <v>0</v>
      </c>
      <c r="BB17" s="31">
        <v>0</v>
      </c>
      <c r="BC17" s="31" t="s">
        <v>56</v>
      </c>
      <c r="BD17" s="30">
        <v>0</v>
      </c>
      <c r="BE17" s="31">
        <v>0</v>
      </c>
      <c r="BF17" s="31" t="s">
        <v>56</v>
      </c>
      <c r="BG17" s="30">
        <v>0</v>
      </c>
      <c r="BH17" s="31">
        <v>0</v>
      </c>
      <c r="BI17" s="31" t="s">
        <v>56</v>
      </c>
      <c r="BJ17" s="30">
        <v>0</v>
      </c>
      <c r="BK17" s="31">
        <v>0</v>
      </c>
      <c r="BL17" s="31" t="s">
        <v>56</v>
      </c>
      <c r="BM17" s="30">
        <v>0</v>
      </c>
      <c r="BN17" s="31">
        <v>0</v>
      </c>
      <c r="BO17" s="31" t="s">
        <v>56</v>
      </c>
      <c r="BP17" s="30">
        <v>0</v>
      </c>
      <c r="BQ17" s="31">
        <v>0</v>
      </c>
      <c r="BR17" s="31" t="s">
        <v>56</v>
      </c>
      <c r="BS17" s="30">
        <v>0</v>
      </c>
      <c r="BT17" s="31">
        <v>0</v>
      </c>
      <c r="BU17" s="31" t="s">
        <v>56</v>
      </c>
      <c r="BV17" s="31">
        <v>0</v>
      </c>
      <c r="BW17" s="31">
        <v>0</v>
      </c>
      <c r="BX17" s="31" t="s">
        <v>56</v>
      </c>
      <c r="BY17" s="31">
        <v>3656.3</v>
      </c>
      <c r="BZ17" s="31">
        <v>182</v>
      </c>
      <c r="CA17" s="32">
        <f t="shared" si="54"/>
        <v>4.9777097065339273</v>
      </c>
      <c r="CB17" s="30">
        <v>0</v>
      </c>
      <c r="CC17" s="30">
        <v>0</v>
      </c>
      <c r="CD17" s="33" t="s">
        <v>56</v>
      </c>
      <c r="CE17" s="30">
        <v>0</v>
      </c>
      <c r="CF17" s="30">
        <v>0</v>
      </c>
      <c r="CG17" s="33" t="s">
        <v>56</v>
      </c>
      <c r="CH17" s="33">
        <v>0</v>
      </c>
      <c r="CI17" s="33">
        <v>0</v>
      </c>
      <c r="CJ17" s="33" t="s">
        <v>56</v>
      </c>
      <c r="CK17" s="30">
        <v>0</v>
      </c>
      <c r="CL17" s="30">
        <v>0</v>
      </c>
      <c r="CM17" s="33" t="s">
        <v>56</v>
      </c>
      <c r="CN17" s="30">
        <f>4967077.5/1000</f>
        <v>4967.0775000000003</v>
      </c>
      <c r="CO17" s="33">
        <v>0</v>
      </c>
      <c r="CP17" s="33">
        <v>0</v>
      </c>
      <c r="CQ17" s="33">
        <v>0</v>
      </c>
      <c r="CR17" s="33">
        <v>0</v>
      </c>
      <c r="CS17" s="33" t="s">
        <v>56</v>
      </c>
      <c r="CT17" s="33">
        <f>72700/1000</f>
        <v>72.7</v>
      </c>
      <c r="CU17" s="33">
        <v>0</v>
      </c>
      <c r="CV17" s="33">
        <v>0</v>
      </c>
      <c r="CW17" s="33">
        <f>25482968/1000</f>
        <v>25482.968000000001</v>
      </c>
      <c r="CX17" s="33">
        <v>0</v>
      </c>
      <c r="CY17" s="33">
        <v>0</v>
      </c>
      <c r="CZ17" s="33">
        <f>2035723/1000</f>
        <v>2035.723</v>
      </c>
      <c r="DA17" s="33">
        <v>0</v>
      </c>
      <c r="DB17" s="33">
        <f t="shared" si="71"/>
        <v>0</v>
      </c>
      <c r="DC17" s="33">
        <f>26345000/1000</f>
        <v>26345</v>
      </c>
      <c r="DD17" s="33">
        <v>0</v>
      </c>
      <c r="DE17" s="33">
        <v>0</v>
      </c>
      <c r="DF17" s="33">
        <v>0</v>
      </c>
      <c r="DG17" s="33">
        <v>0</v>
      </c>
      <c r="DH17" s="33" t="s">
        <v>56</v>
      </c>
      <c r="DI17" s="33">
        <f>11100600/1000</f>
        <v>11100.6</v>
      </c>
      <c r="DJ17" s="33">
        <v>0</v>
      </c>
      <c r="DK17" s="33">
        <v>0</v>
      </c>
      <c r="DL17" s="33">
        <v>0</v>
      </c>
      <c r="DM17" s="33">
        <v>0</v>
      </c>
      <c r="DN17" s="33" t="s">
        <v>56</v>
      </c>
      <c r="DO17" s="33">
        <v>0</v>
      </c>
      <c r="DP17" s="33">
        <v>0</v>
      </c>
      <c r="DQ17" s="33" t="s">
        <v>56</v>
      </c>
      <c r="DR17" s="33">
        <v>0</v>
      </c>
      <c r="DS17" s="33">
        <v>0</v>
      </c>
      <c r="DT17" s="33" t="s">
        <v>56</v>
      </c>
      <c r="DU17" s="33">
        <v>0</v>
      </c>
      <c r="DV17" s="33">
        <v>0</v>
      </c>
      <c r="DW17" s="33" t="s">
        <v>56</v>
      </c>
      <c r="DX17" s="30">
        <v>0</v>
      </c>
      <c r="DY17" s="31">
        <v>0</v>
      </c>
      <c r="DZ17" s="33" t="s">
        <v>56</v>
      </c>
      <c r="EA17" s="30">
        <v>0</v>
      </c>
      <c r="EB17" s="31">
        <v>0</v>
      </c>
      <c r="EC17" s="33" t="s">
        <v>56</v>
      </c>
      <c r="ED17" s="23">
        <f t="shared" si="55"/>
        <v>379585.614</v>
      </c>
      <c r="EE17" s="23">
        <f t="shared" si="56"/>
        <v>100248.10884000002</v>
      </c>
      <c r="EF17" s="24">
        <f t="shared" si="57"/>
        <v>26.409880970884213</v>
      </c>
      <c r="EG17" s="34">
        <f>3926500/1000</f>
        <v>3926.5</v>
      </c>
      <c r="EH17" s="34">
        <v>1004.6</v>
      </c>
      <c r="EI17" s="31">
        <f t="shared" si="26"/>
        <v>25.585126703170761</v>
      </c>
      <c r="EJ17" s="34">
        <v>0</v>
      </c>
      <c r="EK17" s="31">
        <v>0</v>
      </c>
      <c r="EL17" s="31" t="s">
        <v>56</v>
      </c>
      <c r="EM17" s="34">
        <f>60/1000</f>
        <v>0.06</v>
      </c>
      <c r="EN17" s="31">
        <v>0</v>
      </c>
      <c r="EO17" s="31">
        <f t="shared" si="29"/>
        <v>0</v>
      </c>
      <c r="EP17" s="34">
        <v>132781.5</v>
      </c>
      <c r="EQ17" s="31">
        <v>28681.205000000002</v>
      </c>
      <c r="ER17" s="31">
        <f t="shared" si="58"/>
        <v>21.600301999902094</v>
      </c>
      <c r="ES17" s="31">
        <v>208736.1</v>
      </c>
      <c r="ET17" s="31">
        <v>62972.3</v>
      </c>
      <c r="EU17" s="36">
        <f t="shared" si="59"/>
        <v>30.168380074170209</v>
      </c>
      <c r="EV17" s="34">
        <f>6237000/1000</f>
        <v>6237</v>
      </c>
      <c r="EW17" s="33">
        <v>2012.8</v>
      </c>
      <c r="EX17" s="33">
        <f t="shared" si="60"/>
        <v>32.271925605258936</v>
      </c>
      <c r="EY17" s="34">
        <f>2658900/1000</f>
        <v>2658.9</v>
      </c>
      <c r="EZ17" s="31">
        <v>0</v>
      </c>
      <c r="FA17" s="31">
        <f t="shared" si="30"/>
        <v>0</v>
      </c>
      <c r="FB17" s="34">
        <v>0</v>
      </c>
      <c r="FC17" s="31">
        <v>0</v>
      </c>
      <c r="FD17" s="31" t="s">
        <v>56</v>
      </c>
      <c r="FE17" s="34">
        <v>0</v>
      </c>
      <c r="FF17" s="31">
        <v>0</v>
      </c>
      <c r="FG17" s="31" t="s">
        <v>56</v>
      </c>
      <c r="FH17" s="34">
        <f>115454/1000</f>
        <v>115.45399999999999</v>
      </c>
      <c r="FI17" s="31">
        <f>5553.19/1000</f>
        <v>5.5531899999999998</v>
      </c>
      <c r="FJ17" s="31">
        <f t="shared" si="31"/>
        <v>4.8098723301054971</v>
      </c>
      <c r="FK17" s="34">
        <f>227500/1000</f>
        <v>227.5</v>
      </c>
      <c r="FL17" s="31">
        <v>56.7</v>
      </c>
      <c r="FM17" s="31">
        <f t="shared" si="33"/>
        <v>24.923076923076927</v>
      </c>
      <c r="FN17" s="34">
        <f>4800/1000</f>
        <v>4.8</v>
      </c>
      <c r="FO17" s="31">
        <v>0</v>
      </c>
      <c r="FP17" s="31">
        <f t="shared" si="34"/>
        <v>0</v>
      </c>
      <c r="FQ17" s="34">
        <f>63600/1000</f>
        <v>63.6</v>
      </c>
      <c r="FR17" s="31">
        <v>24</v>
      </c>
      <c r="FS17" s="31">
        <f t="shared" si="69"/>
        <v>37.735849056603776</v>
      </c>
      <c r="FT17" s="34">
        <f>2000/1000</f>
        <v>2</v>
      </c>
      <c r="FU17" s="31">
        <v>0</v>
      </c>
      <c r="FV17" s="31">
        <f t="shared" si="73"/>
        <v>0</v>
      </c>
      <c r="FW17" s="34">
        <f>626200/1000</f>
        <v>626.20000000000005</v>
      </c>
      <c r="FX17" s="31">
        <f>253262/1000</f>
        <v>253.262</v>
      </c>
      <c r="FY17" s="31">
        <f t="shared" si="36"/>
        <v>40.444267007345893</v>
      </c>
      <c r="FZ17" s="34">
        <f>443100/1000</f>
        <v>443.1</v>
      </c>
      <c r="GA17" s="31">
        <v>117.2</v>
      </c>
      <c r="GB17" s="31">
        <f t="shared" si="37"/>
        <v>26.450011284134508</v>
      </c>
      <c r="GC17" s="34">
        <v>0</v>
      </c>
      <c r="GD17" s="31">
        <v>0</v>
      </c>
      <c r="GE17" s="31" t="s">
        <v>56</v>
      </c>
      <c r="GF17" s="35">
        <v>0</v>
      </c>
      <c r="GG17" s="31">
        <v>0</v>
      </c>
      <c r="GH17" s="31" t="s">
        <v>56</v>
      </c>
      <c r="GI17" s="35">
        <v>2127.3000000000002</v>
      </c>
      <c r="GJ17" s="31">
        <v>482.59383000000003</v>
      </c>
      <c r="GK17" s="31">
        <f t="shared" si="40"/>
        <v>22.685743900719221</v>
      </c>
      <c r="GL17" s="34">
        <v>0</v>
      </c>
      <c r="GM17" s="34">
        <v>0</v>
      </c>
      <c r="GN17" s="31" t="s">
        <v>56</v>
      </c>
      <c r="GO17" s="34">
        <v>0</v>
      </c>
      <c r="GP17" s="31">
        <v>0</v>
      </c>
      <c r="GQ17" s="31" t="s">
        <v>56</v>
      </c>
      <c r="GR17" s="34">
        <f>740000/1000</f>
        <v>740</v>
      </c>
      <c r="GS17" s="31">
        <v>120</v>
      </c>
      <c r="GT17" s="31">
        <f t="shared" si="75"/>
        <v>16.216216216216214</v>
      </c>
      <c r="GU17" s="34">
        <f>3153000/1000</f>
        <v>3153</v>
      </c>
      <c r="GV17" s="31">
        <v>0</v>
      </c>
      <c r="GW17" s="31">
        <f t="shared" si="43"/>
        <v>0</v>
      </c>
      <c r="GX17" s="34">
        <f>481100/1000</f>
        <v>481.1</v>
      </c>
      <c r="GY17" s="31">
        <v>0</v>
      </c>
      <c r="GZ17" s="31">
        <v>0</v>
      </c>
      <c r="HA17" s="31">
        <f>(330700+11762800)/1000</f>
        <v>12093.5</v>
      </c>
      <c r="HB17" s="31">
        <f>3225794.82/1000</f>
        <v>3225.7948199999996</v>
      </c>
      <c r="HC17" s="36">
        <f t="shared" si="61"/>
        <v>26.673790217885639</v>
      </c>
      <c r="HD17" s="34">
        <f>5168000/1000</f>
        <v>5168</v>
      </c>
      <c r="HE17" s="31">
        <v>1292.0999999999999</v>
      </c>
      <c r="HF17" s="31">
        <f t="shared" si="62"/>
        <v>25.001934984520126</v>
      </c>
      <c r="HG17" s="28">
        <f t="shared" si="63"/>
        <v>180599.97030000002</v>
      </c>
      <c r="HH17" s="28">
        <f t="shared" si="64"/>
        <v>0</v>
      </c>
      <c r="HI17" s="26">
        <f t="shared" si="46"/>
        <v>0</v>
      </c>
      <c r="HJ17" s="37">
        <v>0</v>
      </c>
      <c r="HK17" s="37">
        <v>0</v>
      </c>
      <c r="HL17" s="37" t="s">
        <v>56</v>
      </c>
      <c r="HM17" s="33">
        <v>0</v>
      </c>
      <c r="HN17" s="33">
        <v>0</v>
      </c>
      <c r="HO17" s="33" t="s">
        <v>56</v>
      </c>
      <c r="HP17" s="33">
        <f>11391000/1000</f>
        <v>11391</v>
      </c>
      <c r="HQ17" s="37">
        <v>0</v>
      </c>
      <c r="HR17" s="37">
        <v>0</v>
      </c>
      <c r="HS17" s="37">
        <v>0</v>
      </c>
      <c r="HT17" s="37">
        <v>0</v>
      </c>
      <c r="HU17" s="37" t="s">
        <v>56</v>
      </c>
      <c r="HV17" s="38">
        <v>0</v>
      </c>
      <c r="HW17" s="31">
        <v>0</v>
      </c>
      <c r="HX17" s="31" t="s">
        <v>56</v>
      </c>
      <c r="HY17" s="30">
        <v>0</v>
      </c>
      <c r="HZ17" s="31">
        <v>0</v>
      </c>
      <c r="IA17" s="31" t="s">
        <v>56</v>
      </c>
      <c r="IB17" s="31">
        <v>0</v>
      </c>
      <c r="IC17" s="31">
        <v>0</v>
      </c>
      <c r="ID17" s="31" t="s">
        <v>56</v>
      </c>
      <c r="IE17" s="31">
        <v>0</v>
      </c>
      <c r="IF17" s="31">
        <v>0</v>
      </c>
      <c r="IG17" s="31" t="s">
        <v>56</v>
      </c>
      <c r="IH17" s="31">
        <v>0</v>
      </c>
      <c r="II17" s="31">
        <v>0</v>
      </c>
      <c r="IJ17" s="31" t="s">
        <v>56</v>
      </c>
      <c r="IK17" s="31">
        <v>0</v>
      </c>
      <c r="IL17" s="31">
        <v>0</v>
      </c>
      <c r="IM17" s="31" t="s">
        <v>56</v>
      </c>
      <c r="IN17" s="31">
        <v>0</v>
      </c>
      <c r="IO17" s="31">
        <v>0</v>
      </c>
      <c r="IP17" s="31" t="s">
        <v>56</v>
      </c>
      <c r="IQ17" s="31">
        <f>169208970.3/1000</f>
        <v>169208.97030000002</v>
      </c>
      <c r="IR17" s="31">
        <v>0</v>
      </c>
      <c r="IS17" s="31">
        <v>0</v>
      </c>
      <c r="IT17" s="11">
        <f t="shared" si="65"/>
        <v>765162.9828</v>
      </c>
      <c r="IU17" s="10">
        <f t="shared" si="66"/>
        <v>139531.10884</v>
      </c>
      <c r="IV17" s="10">
        <f t="shared" si="67"/>
        <v>18.235475575335165</v>
      </c>
      <c r="IW17" s="16"/>
      <c r="IX17" s="16"/>
      <c r="IZ17" s="18"/>
    </row>
    <row r="18" spans="1:260" ht="25.5" x14ac:dyDescent="0.2">
      <c r="A18" s="13" t="s">
        <v>19</v>
      </c>
      <c r="B18" s="23">
        <f t="shared" si="47"/>
        <v>112849</v>
      </c>
      <c r="C18" s="23">
        <f t="shared" si="48"/>
        <v>54200</v>
      </c>
      <c r="D18" s="24">
        <f t="shared" si="49"/>
        <v>48.028781823498655</v>
      </c>
      <c r="E18" s="30">
        <v>112849</v>
      </c>
      <c r="F18" s="31">
        <v>54200</v>
      </c>
      <c r="G18" s="31">
        <f t="shared" si="50"/>
        <v>48.028781823498655</v>
      </c>
      <c r="H18" s="30">
        <v>0</v>
      </c>
      <c r="I18" s="30">
        <v>0</v>
      </c>
      <c r="J18" s="31" t="s">
        <v>56</v>
      </c>
      <c r="K18" s="31">
        <v>0</v>
      </c>
      <c r="L18" s="31">
        <v>0</v>
      </c>
      <c r="M18" s="31" t="s">
        <v>56</v>
      </c>
      <c r="N18" s="23">
        <f t="shared" si="51"/>
        <v>180164.60303</v>
      </c>
      <c r="O18" s="23">
        <f t="shared" si="52"/>
        <v>0</v>
      </c>
      <c r="P18" s="24">
        <f t="shared" si="53"/>
        <v>0</v>
      </c>
      <c r="Q18" s="31">
        <f>6095160/1000</f>
        <v>6095.16</v>
      </c>
      <c r="R18" s="31">
        <v>0</v>
      </c>
      <c r="S18" s="31">
        <f t="shared" si="68"/>
        <v>0</v>
      </c>
      <c r="T18" s="30">
        <f>1766000/1000</f>
        <v>1766</v>
      </c>
      <c r="U18" s="31">
        <v>0</v>
      </c>
      <c r="V18" s="31">
        <v>0</v>
      </c>
      <c r="W18" s="30">
        <v>0</v>
      </c>
      <c r="X18" s="31">
        <v>0</v>
      </c>
      <c r="Y18" s="31" t="s">
        <v>56</v>
      </c>
      <c r="Z18" s="30">
        <v>0</v>
      </c>
      <c r="AA18" s="31">
        <v>0</v>
      </c>
      <c r="AB18" s="31" t="s">
        <v>56</v>
      </c>
      <c r="AC18" s="30">
        <v>0</v>
      </c>
      <c r="AD18" s="31">
        <v>0</v>
      </c>
      <c r="AE18" s="31" t="s">
        <v>56</v>
      </c>
      <c r="AF18" s="30">
        <v>0</v>
      </c>
      <c r="AG18" s="31">
        <v>0</v>
      </c>
      <c r="AH18" s="31" t="s">
        <v>56</v>
      </c>
      <c r="AI18" s="30">
        <v>0</v>
      </c>
      <c r="AJ18" s="30">
        <v>0</v>
      </c>
      <c r="AK18" s="31" t="s">
        <v>56</v>
      </c>
      <c r="AL18" s="31">
        <f>1120700/1000</f>
        <v>1120.7</v>
      </c>
      <c r="AM18" s="31">
        <v>0</v>
      </c>
      <c r="AN18" s="31">
        <v>0</v>
      </c>
      <c r="AO18" s="31">
        <v>0</v>
      </c>
      <c r="AP18" s="31">
        <v>0</v>
      </c>
      <c r="AQ18" s="31" t="s">
        <v>56</v>
      </c>
      <c r="AR18" s="31">
        <v>0</v>
      </c>
      <c r="AS18" s="31">
        <v>0</v>
      </c>
      <c r="AT18" s="31" t="s">
        <v>56</v>
      </c>
      <c r="AU18" s="31">
        <f>556724.82/1000</f>
        <v>556.72481999999991</v>
      </c>
      <c r="AV18" s="31">
        <v>0</v>
      </c>
      <c r="AW18" s="31">
        <v>0</v>
      </c>
      <c r="AX18" s="30">
        <v>0</v>
      </c>
      <c r="AY18" s="31">
        <v>0</v>
      </c>
      <c r="AZ18" s="31" t="s">
        <v>56</v>
      </c>
      <c r="BA18" s="30">
        <v>0</v>
      </c>
      <c r="BB18" s="31">
        <v>0</v>
      </c>
      <c r="BC18" s="31" t="s">
        <v>56</v>
      </c>
      <c r="BD18" s="30">
        <f>44735.21/1000</f>
        <v>44.735210000000002</v>
      </c>
      <c r="BE18" s="31">
        <v>0</v>
      </c>
      <c r="BF18" s="31">
        <v>0</v>
      </c>
      <c r="BG18" s="30">
        <v>0</v>
      </c>
      <c r="BH18" s="31">
        <v>0</v>
      </c>
      <c r="BI18" s="31" t="s">
        <v>56</v>
      </c>
      <c r="BJ18" s="30">
        <v>0</v>
      </c>
      <c r="BK18" s="31">
        <v>0</v>
      </c>
      <c r="BL18" s="31" t="s">
        <v>56</v>
      </c>
      <c r="BM18" s="30">
        <v>0</v>
      </c>
      <c r="BN18" s="31">
        <v>0</v>
      </c>
      <c r="BO18" s="31" t="s">
        <v>56</v>
      </c>
      <c r="BP18" s="30">
        <v>0</v>
      </c>
      <c r="BQ18" s="31">
        <v>0</v>
      </c>
      <c r="BR18" s="31" t="s">
        <v>56</v>
      </c>
      <c r="BS18" s="30">
        <v>0</v>
      </c>
      <c r="BT18" s="31">
        <v>0</v>
      </c>
      <c r="BU18" s="31" t="s">
        <v>56</v>
      </c>
      <c r="BV18" s="31">
        <v>0</v>
      </c>
      <c r="BW18" s="31">
        <v>0</v>
      </c>
      <c r="BX18" s="31" t="s">
        <v>56</v>
      </c>
      <c r="BY18" s="31">
        <v>0</v>
      </c>
      <c r="BZ18" s="31">
        <v>0</v>
      </c>
      <c r="CA18" s="32" t="s">
        <v>56</v>
      </c>
      <c r="CB18" s="30">
        <v>0</v>
      </c>
      <c r="CC18" s="30">
        <v>0</v>
      </c>
      <c r="CD18" s="33" t="s">
        <v>56</v>
      </c>
      <c r="CE18" s="30">
        <v>0</v>
      </c>
      <c r="CF18" s="30">
        <v>0</v>
      </c>
      <c r="CG18" s="33" t="s">
        <v>56</v>
      </c>
      <c r="CH18" s="33">
        <v>0</v>
      </c>
      <c r="CI18" s="33">
        <v>0</v>
      </c>
      <c r="CJ18" s="33" t="s">
        <v>56</v>
      </c>
      <c r="CK18" s="30">
        <v>0</v>
      </c>
      <c r="CL18" s="30">
        <v>0</v>
      </c>
      <c r="CM18" s="33" t="s">
        <v>56</v>
      </c>
      <c r="CN18" s="30">
        <f>16578220/1000</f>
        <v>16578.22</v>
      </c>
      <c r="CO18" s="33">
        <v>0</v>
      </c>
      <c r="CP18" s="33">
        <v>0</v>
      </c>
      <c r="CQ18" s="33">
        <v>0</v>
      </c>
      <c r="CR18" s="33">
        <v>0</v>
      </c>
      <c r="CS18" s="33" t="s">
        <v>56</v>
      </c>
      <c r="CT18" s="33">
        <v>0</v>
      </c>
      <c r="CU18" s="33">
        <v>0</v>
      </c>
      <c r="CV18" s="33" t="s">
        <v>56</v>
      </c>
      <c r="CW18" s="33">
        <f>31575740/1000</f>
        <v>31575.74</v>
      </c>
      <c r="CX18" s="33">
        <v>0</v>
      </c>
      <c r="CY18" s="33">
        <v>0</v>
      </c>
      <c r="CZ18" s="33">
        <f>2035723/1000</f>
        <v>2035.723</v>
      </c>
      <c r="DA18" s="33">
        <v>0</v>
      </c>
      <c r="DB18" s="33">
        <f t="shared" si="71"/>
        <v>0</v>
      </c>
      <c r="DC18" s="33">
        <v>0</v>
      </c>
      <c r="DD18" s="33">
        <v>0</v>
      </c>
      <c r="DE18" s="33" t="s">
        <v>56</v>
      </c>
      <c r="DF18" s="33">
        <v>0</v>
      </c>
      <c r="DG18" s="33">
        <v>0</v>
      </c>
      <c r="DH18" s="33" t="s">
        <v>56</v>
      </c>
      <c r="DI18" s="33">
        <f>28141600/1000</f>
        <v>28141.599999999999</v>
      </c>
      <c r="DJ18" s="33">
        <v>0</v>
      </c>
      <c r="DK18" s="33">
        <v>0</v>
      </c>
      <c r="DL18" s="33">
        <f>250000/1000</f>
        <v>250</v>
      </c>
      <c r="DM18" s="33">
        <v>0</v>
      </c>
      <c r="DN18" s="33">
        <v>0</v>
      </c>
      <c r="DO18" s="33">
        <f>(17256135+39743865)/1000</f>
        <v>57000</v>
      </c>
      <c r="DP18" s="33">
        <v>0</v>
      </c>
      <c r="DQ18" s="33">
        <v>0</v>
      </c>
      <c r="DR18" s="33">
        <v>0</v>
      </c>
      <c r="DS18" s="33">
        <v>0</v>
      </c>
      <c r="DT18" s="33" t="s">
        <v>56</v>
      </c>
      <c r="DU18" s="33">
        <v>0</v>
      </c>
      <c r="DV18" s="33">
        <v>0</v>
      </c>
      <c r="DW18" s="33" t="s">
        <v>56</v>
      </c>
      <c r="DX18" s="30">
        <v>35000</v>
      </c>
      <c r="DY18" s="31">
        <v>0</v>
      </c>
      <c r="DZ18" s="33">
        <v>0</v>
      </c>
      <c r="EA18" s="30">
        <v>0</v>
      </c>
      <c r="EB18" s="31">
        <v>0</v>
      </c>
      <c r="EC18" s="33" t="s">
        <v>56</v>
      </c>
      <c r="ED18" s="23">
        <f t="shared" si="55"/>
        <v>749529.54599999997</v>
      </c>
      <c r="EE18" s="23">
        <f t="shared" si="56"/>
        <v>189565.51655</v>
      </c>
      <c r="EF18" s="24">
        <f t="shared" si="57"/>
        <v>25.29126671011846</v>
      </c>
      <c r="EG18" s="34">
        <f>5900100/1000</f>
        <v>5900.1</v>
      </c>
      <c r="EH18" s="34">
        <v>1767.3</v>
      </c>
      <c r="EI18" s="31">
        <f t="shared" si="26"/>
        <v>29.953729597803424</v>
      </c>
      <c r="EJ18" s="34">
        <f>114100/1000</f>
        <v>114.1</v>
      </c>
      <c r="EK18" s="31">
        <v>0</v>
      </c>
      <c r="EL18" s="31">
        <f t="shared" ref="EL18:EL23" si="79">EK18/EJ18%</f>
        <v>0</v>
      </c>
      <c r="EM18" s="34">
        <f>4039/1000</f>
        <v>4.0389999999999997</v>
      </c>
      <c r="EN18" s="31">
        <v>0</v>
      </c>
      <c r="EO18" s="31">
        <f t="shared" si="29"/>
        <v>0</v>
      </c>
      <c r="EP18" s="34">
        <v>321836.79999999999</v>
      </c>
      <c r="EQ18" s="31">
        <v>80160.226999999999</v>
      </c>
      <c r="ER18" s="31">
        <f t="shared" si="58"/>
        <v>24.90710415962376</v>
      </c>
      <c r="ES18" s="31">
        <v>335204.8</v>
      </c>
      <c r="ET18" s="31">
        <v>86971.199999999997</v>
      </c>
      <c r="EU18" s="36">
        <f t="shared" si="59"/>
        <v>25.94569051517162</v>
      </c>
      <c r="EV18" s="34">
        <f>12587400/1000</f>
        <v>12587.4</v>
      </c>
      <c r="EW18" s="33">
        <v>3145</v>
      </c>
      <c r="EX18" s="33">
        <f t="shared" si="60"/>
        <v>24.985302763080544</v>
      </c>
      <c r="EY18" s="34">
        <f>1251300/1000</f>
        <v>1251.3</v>
      </c>
      <c r="EZ18" s="31">
        <v>0</v>
      </c>
      <c r="FA18" s="31">
        <f t="shared" si="30"/>
        <v>0</v>
      </c>
      <c r="FB18" s="34">
        <f>1503200/1000</f>
        <v>1503.2</v>
      </c>
      <c r="FC18" s="31">
        <v>0</v>
      </c>
      <c r="FD18" s="31">
        <v>0</v>
      </c>
      <c r="FE18" s="34">
        <v>0</v>
      </c>
      <c r="FF18" s="31">
        <v>0</v>
      </c>
      <c r="FG18" s="31" t="s">
        <v>56</v>
      </c>
      <c r="FH18" s="34">
        <f>10582407/1000</f>
        <v>10582.406999999999</v>
      </c>
      <c r="FI18" s="31">
        <f>2058695.55/1000</f>
        <v>2058.6955499999999</v>
      </c>
      <c r="FJ18" s="31">
        <f t="shared" si="31"/>
        <v>19.453944173570342</v>
      </c>
      <c r="FK18" s="34">
        <f>175000/1000</f>
        <v>175</v>
      </c>
      <c r="FL18" s="31">
        <v>43.8</v>
      </c>
      <c r="FM18" s="31">
        <f t="shared" si="33"/>
        <v>25.028571428571428</v>
      </c>
      <c r="FN18" s="34">
        <f>25200/1000</f>
        <v>25.2</v>
      </c>
      <c r="FO18" s="31">
        <v>0</v>
      </c>
      <c r="FP18" s="31">
        <f t="shared" si="34"/>
        <v>0</v>
      </c>
      <c r="FQ18" s="34">
        <f>159100/1000</f>
        <v>159.1</v>
      </c>
      <c r="FR18" s="31">
        <v>31.8</v>
      </c>
      <c r="FS18" s="31">
        <f t="shared" si="69"/>
        <v>19.987429289754871</v>
      </c>
      <c r="FT18" s="34">
        <v>0</v>
      </c>
      <c r="FU18" s="31">
        <v>0</v>
      </c>
      <c r="FV18" s="31" t="s">
        <v>56</v>
      </c>
      <c r="FW18" s="34">
        <f>677400/1000</f>
        <v>677.4</v>
      </c>
      <c r="FX18" s="31">
        <f>174758/1000</f>
        <v>174.75800000000001</v>
      </c>
      <c r="FY18" s="31">
        <f t="shared" si="36"/>
        <v>25.798346619427225</v>
      </c>
      <c r="FZ18" s="34">
        <f>464000/1000</f>
        <v>464</v>
      </c>
      <c r="GA18" s="31">
        <f>116001/1000</f>
        <v>116.001</v>
      </c>
      <c r="GB18" s="31">
        <f t="shared" si="37"/>
        <v>25.000215517241383</v>
      </c>
      <c r="GC18" s="34">
        <v>0</v>
      </c>
      <c r="GD18" s="31">
        <v>0</v>
      </c>
      <c r="GE18" s="31" t="s">
        <v>56</v>
      </c>
      <c r="GF18" s="35">
        <v>0</v>
      </c>
      <c r="GG18" s="31">
        <v>0</v>
      </c>
      <c r="GH18" s="31" t="s">
        <v>56</v>
      </c>
      <c r="GI18" s="35">
        <v>1127.9000000000001</v>
      </c>
      <c r="GJ18" s="31">
        <v>281.97500000000002</v>
      </c>
      <c r="GK18" s="31">
        <f t="shared" si="40"/>
        <v>25</v>
      </c>
      <c r="GL18" s="34">
        <v>0</v>
      </c>
      <c r="GM18" s="34">
        <v>0</v>
      </c>
      <c r="GN18" s="31" t="s">
        <v>56</v>
      </c>
      <c r="GO18" s="34">
        <f>587100/1000</f>
        <v>587.1</v>
      </c>
      <c r="GP18" s="31">
        <v>146.76</v>
      </c>
      <c r="GQ18" s="31">
        <f t="shared" si="76"/>
        <v>24.997445068983133</v>
      </c>
      <c r="GR18" s="34">
        <f>3925000/1000</f>
        <v>3925</v>
      </c>
      <c r="GS18" s="31">
        <v>756.5</v>
      </c>
      <c r="GT18" s="31">
        <f t="shared" si="75"/>
        <v>19.273885350318473</v>
      </c>
      <c r="GU18" s="34">
        <v>0</v>
      </c>
      <c r="GV18" s="31">
        <v>0</v>
      </c>
      <c r="GW18" s="31" t="s">
        <v>56</v>
      </c>
      <c r="GX18" s="34">
        <f>906800/1000</f>
        <v>906.8</v>
      </c>
      <c r="GY18" s="31">
        <v>0</v>
      </c>
      <c r="GZ18" s="31">
        <v>0</v>
      </c>
      <c r="HA18" s="31">
        <f>(306600+43569300)/1000</f>
        <v>43875.9</v>
      </c>
      <c r="HB18" s="31">
        <v>11756</v>
      </c>
      <c r="HC18" s="36">
        <f t="shared" si="61"/>
        <v>26.793752378868579</v>
      </c>
      <c r="HD18" s="34">
        <f>8622000/1000</f>
        <v>8622</v>
      </c>
      <c r="HE18" s="31">
        <v>2155.5</v>
      </c>
      <c r="HF18" s="31">
        <f t="shared" si="62"/>
        <v>25</v>
      </c>
      <c r="HG18" s="28">
        <f t="shared" si="63"/>
        <v>18586.755000000001</v>
      </c>
      <c r="HH18" s="28">
        <f t="shared" si="64"/>
        <v>0</v>
      </c>
      <c r="HI18" s="26">
        <f t="shared" si="46"/>
        <v>0</v>
      </c>
      <c r="HJ18" s="37">
        <v>0</v>
      </c>
      <c r="HK18" s="37">
        <v>0</v>
      </c>
      <c r="HL18" s="37" t="s">
        <v>56</v>
      </c>
      <c r="HM18" s="33">
        <v>0</v>
      </c>
      <c r="HN18" s="33">
        <v>0</v>
      </c>
      <c r="HO18" s="33" t="s">
        <v>56</v>
      </c>
      <c r="HP18" s="33">
        <f>18586755/1000</f>
        <v>18586.755000000001</v>
      </c>
      <c r="HQ18" s="37">
        <v>0</v>
      </c>
      <c r="HR18" s="37">
        <v>0</v>
      </c>
      <c r="HS18" s="37">
        <v>0</v>
      </c>
      <c r="HT18" s="37">
        <v>0</v>
      </c>
      <c r="HU18" s="37" t="s">
        <v>56</v>
      </c>
      <c r="HV18" s="38">
        <v>0</v>
      </c>
      <c r="HW18" s="31">
        <v>0</v>
      </c>
      <c r="HX18" s="31" t="s">
        <v>56</v>
      </c>
      <c r="HY18" s="30">
        <v>0</v>
      </c>
      <c r="HZ18" s="31">
        <v>0</v>
      </c>
      <c r="IA18" s="31" t="s">
        <v>56</v>
      </c>
      <c r="IB18" s="31">
        <v>0</v>
      </c>
      <c r="IC18" s="31">
        <v>0</v>
      </c>
      <c r="ID18" s="31" t="s">
        <v>56</v>
      </c>
      <c r="IE18" s="31">
        <v>0</v>
      </c>
      <c r="IF18" s="31">
        <v>0</v>
      </c>
      <c r="IG18" s="31" t="s">
        <v>56</v>
      </c>
      <c r="IH18" s="31">
        <v>0</v>
      </c>
      <c r="II18" s="31">
        <v>0</v>
      </c>
      <c r="IJ18" s="31" t="s">
        <v>56</v>
      </c>
      <c r="IK18" s="31">
        <v>0</v>
      </c>
      <c r="IL18" s="31">
        <v>0</v>
      </c>
      <c r="IM18" s="31" t="s">
        <v>56</v>
      </c>
      <c r="IN18" s="31">
        <v>0</v>
      </c>
      <c r="IO18" s="31">
        <v>0</v>
      </c>
      <c r="IP18" s="31" t="s">
        <v>56</v>
      </c>
      <c r="IQ18" s="31">
        <v>0</v>
      </c>
      <c r="IR18" s="31">
        <v>0</v>
      </c>
      <c r="IS18" s="31" t="s">
        <v>56</v>
      </c>
      <c r="IT18" s="11">
        <f t="shared" si="65"/>
        <v>1061129.9040299999</v>
      </c>
      <c r="IU18" s="10">
        <f t="shared" si="66"/>
        <v>243765.51655</v>
      </c>
      <c r="IV18" s="10">
        <f t="shared" si="67"/>
        <v>22.972259628554241</v>
      </c>
      <c r="IW18" s="16"/>
      <c r="IX18" s="16"/>
      <c r="IZ18" s="18"/>
    </row>
    <row r="19" spans="1:260" ht="15" customHeight="1" x14ac:dyDescent="0.2">
      <c r="A19" s="13" t="s">
        <v>20</v>
      </c>
      <c r="B19" s="23">
        <f t="shared" si="47"/>
        <v>134113</v>
      </c>
      <c r="C19" s="23">
        <f t="shared" si="48"/>
        <v>56653.86</v>
      </c>
      <c r="D19" s="24">
        <f t="shared" si="49"/>
        <v>42.243376853847131</v>
      </c>
      <c r="E19" s="30">
        <v>134113</v>
      </c>
      <c r="F19" s="31">
        <v>56653.86</v>
      </c>
      <c r="G19" s="31">
        <f t="shared" si="50"/>
        <v>42.243376853847131</v>
      </c>
      <c r="H19" s="30">
        <v>0</v>
      </c>
      <c r="I19" s="30">
        <v>0</v>
      </c>
      <c r="J19" s="31" t="s">
        <v>56</v>
      </c>
      <c r="K19" s="31">
        <v>0</v>
      </c>
      <c r="L19" s="31">
        <v>0</v>
      </c>
      <c r="M19" s="31" t="s">
        <v>56</v>
      </c>
      <c r="N19" s="23">
        <f t="shared" si="51"/>
        <v>49384.940099999993</v>
      </c>
      <c r="O19" s="23">
        <f t="shared" si="52"/>
        <v>0</v>
      </c>
      <c r="P19" s="24">
        <f t="shared" si="53"/>
        <v>0</v>
      </c>
      <c r="Q19" s="31">
        <f>15946030/1000</f>
        <v>15946.03</v>
      </c>
      <c r="R19" s="31">
        <v>0</v>
      </c>
      <c r="S19" s="31">
        <f t="shared" si="68"/>
        <v>0</v>
      </c>
      <c r="T19" s="30">
        <v>0</v>
      </c>
      <c r="U19" s="31">
        <v>0</v>
      </c>
      <c r="V19" s="31" t="s">
        <v>56</v>
      </c>
      <c r="W19" s="30">
        <f>8660310.45/1000</f>
        <v>8660.310449999999</v>
      </c>
      <c r="X19" s="31">
        <v>0</v>
      </c>
      <c r="Y19" s="31">
        <v>0</v>
      </c>
      <c r="Z19" s="30">
        <v>0</v>
      </c>
      <c r="AA19" s="31">
        <v>0</v>
      </c>
      <c r="AB19" s="31" t="s">
        <v>56</v>
      </c>
      <c r="AC19" s="30">
        <v>0</v>
      </c>
      <c r="AD19" s="31">
        <v>0</v>
      </c>
      <c r="AE19" s="31" t="s">
        <v>56</v>
      </c>
      <c r="AF19" s="30">
        <v>0</v>
      </c>
      <c r="AG19" s="31">
        <v>0</v>
      </c>
      <c r="AH19" s="31" t="s">
        <v>56</v>
      </c>
      <c r="AI19" s="30">
        <v>0</v>
      </c>
      <c r="AJ19" s="30">
        <v>0</v>
      </c>
      <c r="AK19" s="31" t="s">
        <v>56</v>
      </c>
      <c r="AL19" s="31">
        <f>6322700/1000</f>
        <v>6322.7</v>
      </c>
      <c r="AM19" s="31">
        <v>0</v>
      </c>
      <c r="AN19" s="31">
        <v>0</v>
      </c>
      <c r="AO19" s="31">
        <v>0</v>
      </c>
      <c r="AP19" s="31">
        <v>0</v>
      </c>
      <c r="AQ19" s="31" t="s">
        <v>56</v>
      </c>
      <c r="AR19" s="31">
        <v>0</v>
      </c>
      <c r="AS19" s="31">
        <v>0</v>
      </c>
      <c r="AT19" s="31" t="s">
        <v>56</v>
      </c>
      <c r="AU19" s="30">
        <f>1002104.67/1000</f>
        <v>1002.1046700000001</v>
      </c>
      <c r="AV19" s="31">
        <v>0</v>
      </c>
      <c r="AW19" s="31">
        <v>0</v>
      </c>
      <c r="AX19" s="30">
        <v>0</v>
      </c>
      <c r="AY19" s="31">
        <v>0</v>
      </c>
      <c r="AZ19" s="31" t="s">
        <v>56</v>
      </c>
      <c r="BA19" s="30">
        <v>0</v>
      </c>
      <c r="BB19" s="31">
        <v>0</v>
      </c>
      <c r="BC19" s="31" t="s">
        <v>56</v>
      </c>
      <c r="BD19" s="30">
        <f>55919.01/1000</f>
        <v>55.91901</v>
      </c>
      <c r="BE19" s="31">
        <v>0</v>
      </c>
      <c r="BF19" s="31">
        <v>0</v>
      </c>
      <c r="BG19" s="30">
        <v>0</v>
      </c>
      <c r="BH19" s="31">
        <v>0</v>
      </c>
      <c r="BI19" s="31" t="s">
        <v>56</v>
      </c>
      <c r="BJ19" s="30">
        <v>0</v>
      </c>
      <c r="BK19" s="31">
        <v>0</v>
      </c>
      <c r="BL19" s="31" t="s">
        <v>56</v>
      </c>
      <c r="BM19" s="30">
        <v>0</v>
      </c>
      <c r="BN19" s="31">
        <v>0</v>
      </c>
      <c r="BO19" s="31" t="s">
        <v>56</v>
      </c>
      <c r="BP19" s="30">
        <v>0</v>
      </c>
      <c r="BQ19" s="31">
        <v>0</v>
      </c>
      <c r="BR19" s="31" t="s">
        <v>56</v>
      </c>
      <c r="BS19" s="30">
        <v>0</v>
      </c>
      <c r="BT19" s="31">
        <v>0</v>
      </c>
      <c r="BU19" s="31" t="s">
        <v>56</v>
      </c>
      <c r="BV19" s="31">
        <v>0</v>
      </c>
      <c r="BW19" s="31">
        <v>0</v>
      </c>
      <c r="BX19" s="31" t="s">
        <v>56</v>
      </c>
      <c r="BY19" s="31">
        <v>0</v>
      </c>
      <c r="BZ19" s="31">
        <v>0</v>
      </c>
      <c r="CA19" s="32" t="s">
        <v>56</v>
      </c>
      <c r="CB19" s="30">
        <v>0</v>
      </c>
      <c r="CC19" s="30">
        <v>0</v>
      </c>
      <c r="CD19" s="33" t="s">
        <v>56</v>
      </c>
      <c r="CE19" s="30">
        <v>0</v>
      </c>
      <c r="CF19" s="30">
        <v>0</v>
      </c>
      <c r="CG19" s="33" t="s">
        <v>56</v>
      </c>
      <c r="CH19" s="33">
        <v>0</v>
      </c>
      <c r="CI19" s="33">
        <v>0</v>
      </c>
      <c r="CJ19" s="33" t="s">
        <v>56</v>
      </c>
      <c r="CK19" s="30">
        <v>0</v>
      </c>
      <c r="CL19" s="30">
        <v>0</v>
      </c>
      <c r="CM19" s="33" t="s">
        <v>56</v>
      </c>
      <c r="CN19" s="30">
        <v>0</v>
      </c>
      <c r="CO19" s="33">
        <v>0</v>
      </c>
      <c r="CP19" s="33" t="s">
        <v>56</v>
      </c>
      <c r="CQ19" s="33">
        <f>190792.97/1000</f>
        <v>190.79297</v>
      </c>
      <c r="CR19" s="33">
        <v>0</v>
      </c>
      <c r="CS19" s="33">
        <v>0</v>
      </c>
      <c r="CT19" s="33">
        <v>0</v>
      </c>
      <c r="CU19" s="33">
        <v>0</v>
      </c>
      <c r="CV19" s="33" t="s">
        <v>56</v>
      </c>
      <c r="CW19" s="33">
        <f>3254060/1000</f>
        <v>3254.06</v>
      </c>
      <c r="CX19" s="33">
        <v>0</v>
      </c>
      <c r="CY19" s="33">
        <v>0</v>
      </c>
      <c r="CZ19" s="33">
        <f>2035723/1000</f>
        <v>2035.723</v>
      </c>
      <c r="DA19" s="33">
        <v>0</v>
      </c>
      <c r="DB19" s="33">
        <f t="shared" si="71"/>
        <v>0</v>
      </c>
      <c r="DC19" s="33">
        <f>1782000/1000</f>
        <v>1782</v>
      </c>
      <c r="DD19" s="33">
        <v>0</v>
      </c>
      <c r="DE19" s="33">
        <v>0</v>
      </c>
      <c r="DF19" s="33">
        <v>0</v>
      </c>
      <c r="DG19" s="33">
        <v>0</v>
      </c>
      <c r="DH19" s="33" t="s">
        <v>56</v>
      </c>
      <c r="DI19" s="33">
        <f>9835300/1000</f>
        <v>9835.2999999999993</v>
      </c>
      <c r="DJ19" s="33">
        <v>0</v>
      </c>
      <c r="DK19" s="33">
        <v>0</v>
      </c>
      <c r="DL19" s="30">
        <f>300000/1000</f>
        <v>300</v>
      </c>
      <c r="DM19" s="33">
        <v>0</v>
      </c>
      <c r="DN19" s="33">
        <f t="shared" ref="DN19" si="80">DM19/DL19%</f>
        <v>0</v>
      </c>
      <c r="DO19" s="33">
        <v>0</v>
      </c>
      <c r="DP19" s="33">
        <v>0</v>
      </c>
      <c r="DQ19" s="33" t="s">
        <v>56</v>
      </c>
      <c r="DR19" s="30">
        <v>0</v>
      </c>
      <c r="DS19" s="33">
        <v>0</v>
      </c>
      <c r="DT19" s="33" t="s">
        <v>56</v>
      </c>
      <c r="DU19" s="33">
        <v>0</v>
      </c>
      <c r="DV19" s="33">
        <v>0</v>
      </c>
      <c r="DW19" s="33" t="s">
        <v>56</v>
      </c>
      <c r="DX19" s="30">
        <v>0</v>
      </c>
      <c r="DY19" s="31">
        <v>0</v>
      </c>
      <c r="DZ19" s="33" t="s">
        <v>56</v>
      </c>
      <c r="EA19" s="30">
        <v>0</v>
      </c>
      <c r="EB19" s="31">
        <v>0</v>
      </c>
      <c r="EC19" s="33" t="s">
        <v>56</v>
      </c>
      <c r="ED19" s="23">
        <f t="shared" si="55"/>
        <v>418281.39999999997</v>
      </c>
      <c r="EE19" s="23">
        <f t="shared" si="56"/>
        <v>86834.796549999985</v>
      </c>
      <c r="EF19" s="24">
        <f t="shared" si="57"/>
        <v>20.75989908946465</v>
      </c>
      <c r="EG19" s="34">
        <f>1812300/1000</f>
        <v>1812.3</v>
      </c>
      <c r="EH19" s="34">
        <f>375483/1000</f>
        <v>375.483</v>
      </c>
      <c r="EI19" s="31">
        <f t="shared" si="26"/>
        <v>20.718589637477237</v>
      </c>
      <c r="EJ19" s="34">
        <f>114200/1000</f>
        <v>114.2</v>
      </c>
      <c r="EK19" s="31">
        <v>0</v>
      </c>
      <c r="EL19" s="31">
        <f t="shared" si="79"/>
        <v>0</v>
      </c>
      <c r="EM19" s="34">
        <v>0</v>
      </c>
      <c r="EN19" s="31">
        <v>0</v>
      </c>
      <c r="EO19" s="31" t="s">
        <v>56</v>
      </c>
      <c r="EP19" s="34">
        <v>102377.4</v>
      </c>
      <c r="EQ19" s="31">
        <v>16648.249</v>
      </c>
      <c r="ER19" s="31">
        <f t="shared" si="58"/>
        <v>16.261644659856572</v>
      </c>
      <c r="ES19" s="31">
        <v>275142.3</v>
      </c>
      <c r="ET19" s="31">
        <v>62080.4</v>
      </c>
      <c r="EU19" s="36">
        <f t="shared" si="59"/>
        <v>22.563015574122918</v>
      </c>
      <c r="EV19" s="34">
        <f>13910400/1000</f>
        <v>13910.4</v>
      </c>
      <c r="EW19" s="33">
        <v>3345</v>
      </c>
      <c r="EX19" s="33">
        <f t="shared" si="60"/>
        <v>24.046756383712907</v>
      </c>
      <c r="EY19" s="34">
        <f>4168400/1000</f>
        <v>4168.3999999999996</v>
      </c>
      <c r="EZ19" s="31">
        <v>0</v>
      </c>
      <c r="FA19" s="31">
        <f t="shared" si="30"/>
        <v>0</v>
      </c>
      <c r="FB19" s="34">
        <f>388100/1000</f>
        <v>388.1</v>
      </c>
      <c r="FC19" s="31">
        <v>0</v>
      </c>
      <c r="FD19" s="31">
        <v>0</v>
      </c>
      <c r="FE19" s="34">
        <f>104900/1000</f>
        <v>104.9</v>
      </c>
      <c r="FF19" s="31">
        <v>30</v>
      </c>
      <c r="FG19" s="31">
        <f t="shared" si="77"/>
        <v>28.598665395614866</v>
      </c>
      <c r="FH19" s="34">
        <v>0</v>
      </c>
      <c r="FI19" s="31">
        <v>0</v>
      </c>
      <c r="FJ19" s="31" t="s">
        <v>56</v>
      </c>
      <c r="FK19" s="34">
        <f>262500/1000</f>
        <v>262.5</v>
      </c>
      <c r="FL19" s="31">
        <v>65.7</v>
      </c>
      <c r="FM19" s="31">
        <f t="shared" si="33"/>
        <v>25.028571428571428</v>
      </c>
      <c r="FN19" s="34">
        <f>1800/1000</f>
        <v>1.8</v>
      </c>
      <c r="FO19" s="31">
        <v>0</v>
      </c>
      <c r="FP19" s="31">
        <f t="shared" si="34"/>
        <v>0</v>
      </c>
      <c r="FQ19" s="34">
        <f>159100/1000</f>
        <v>159.1</v>
      </c>
      <c r="FR19" s="31">
        <v>39.9</v>
      </c>
      <c r="FS19" s="31">
        <f t="shared" si="69"/>
        <v>25.078566939032054</v>
      </c>
      <c r="FT19" s="34">
        <v>0</v>
      </c>
      <c r="FU19" s="31">
        <v>0</v>
      </c>
      <c r="FV19" s="31" t="s">
        <v>56</v>
      </c>
      <c r="FW19" s="34">
        <f>617100/1000</f>
        <v>617.1</v>
      </c>
      <c r="FX19" s="31">
        <f>114239/1000</f>
        <v>114.239</v>
      </c>
      <c r="FY19" s="31">
        <f t="shared" si="36"/>
        <v>18.512234645924487</v>
      </c>
      <c r="FZ19" s="34">
        <f>419800/1000</f>
        <v>419.8</v>
      </c>
      <c r="GA19" s="31">
        <f>119736/1000</f>
        <v>119.736</v>
      </c>
      <c r="GB19" s="31">
        <f t="shared" si="37"/>
        <v>28.522153406383989</v>
      </c>
      <c r="GC19" s="34">
        <v>0</v>
      </c>
      <c r="GD19" s="31">
        <v>0</v>
      </c>
      <c r="GE19" s="31" t="s">
        <v>56</v>
      </c>
      <c r="GF19" s="35">
        <v>0</v>
      </c>
      <c r="GG19" s="31">
        <v>0</v>
      </c>
      <c r="GH19" s="31" t="s">
        <v>56</v>
      </c>
      <c r="GI19" s="35">
        <v>2008.7</v>
      </c>
      <c r="GJ19" s="31">
        <v>425.21418</v>
      </c>
      <c r="GK19" s="31">
        <f t="shared" si="40"/>
        <v>21.16862547916563</v>
      </c>
      <c r="GL19" s="34">
        <v>0</v>
      </c>
      <c r="GM19" s="34">
        <v>0</v>
      </c>
      <c r="GN19" s="31" t="s">
        <v>56</v>
      </c>
      <c r="GO19" s="34">
        <f>179400/1000</f>
        <v>179.4</v>
      </c>
      <c r="GP19" s="31">
        <f>44862/1000</f>
        <v>44.862000000000002</v>
      </c>
      <c r="GQ19" s="31">
        <f t="shared" si="76"/>
        <v>25.006688963210703</v>
      </c>
      <c r="GR19" s="34">
        <f>2254000/1000</f>
        <v>2254</v>
      </c>
      <c r="GS19" s="31">
        <v>387.5</v>
      </c>
      <c r="GT19" s="31">
        <f t="shared" si="75"/>
        <v>17.191659272404614</v>
      </c>
      <c r="GU19" s="34">
        <v>0</v>
      </c>
      <c r="GV19" s="31">
        <v>0</v>
      </c>
      <c r="GW19" s="31" t="s">
        <v>56</v>
      </c>
      <c r="GX19" s="34">
        <f>289400/1000</f>
        <v>289.39999999999998</v>
      </c>
      <c r="GY19" s="31">
        <v>0</v>
      </c>
      <c r="GZ19" s="31">
        <v>0</v>
      </c>
      <c r="HA19" s="31">
        <f>(175900+11280700)/1000</f>
        <v>11456.6</v>
      </c>
      <c r="HB19" s="31">
        <f>2504813.37/1000</f>
        <v>2504.8133700000003</v>
      </c>
      <c r="HC19" s="36">
        <f t="shared" si="61"/>
        <v>21.863496761691952</v>
      </c>
      <c r="HD19" s="34">
        <f>2615000/1000</f>
        <v>2615</v>
      </c>
      <c r="HE19" s="31">
        <v>653.70000000000005</v>
      </c>
      <c r="HF19" s="31">
        <f t="shared" si="62"/>
        <v>24.9980879541109</v>
      </c>
      <c r="HG19" s="28">
        <f t="shared" si="63"/>
        <v>5819.7</v>
      </c>
      <c r="HH19" s="28">
        <f t="shared" si="64"/>
        <v>0</v>
      </c>
      <c r="HI19" s="26">
        <f t="shared" si="46"/>
        <v>0</v>
      </c>
      <c r="HJ19" s="37">
        <v>0</v>
      </c>
      <c r="HK19" s="37">
        <v>0</v>
      </c>
      <c r="HL19" s="37" t="s">
        <v>56</v>
      </c>
      <c r="HM19" s="33">
        <v>0</v>
      </c>
      <c r="HN19" s="33">
        <v>0</v>
      </c>
      <c r="HO19" s="33" t="s">
        <v>56</v>
      </c>
      <c r="HP19" s="33">
        <f>5819700/1000</f>
        <v>5819.7</v>
      </c>
      <c r="HQ19" s="37">
        <v>0</v>
      </c>
      <c r="HR19" s="37">
        <v>0</v>
      </c>
      <c r="HS19" s="37">
        <v>0</v>
      </c>
      <c r="HT19" s="37">
        <v>0</v>
      </c>
      <c r="HU19" s="37" t="s">
        <v>56</v>
      </c>
      <c r="HV19" s="30">
        <v>0</v>
      </c>
      <c r="HW19" s="31">
        <v>0</v>
      </c>
      <c r="HX19" s="31" t="s">
        <v>56</v>
      </c>
      <c r="HY19" s="30">
        <v>0</v>
      </c>
      <c r="HZ19" s="31">
        <v>0</v>
      </c>
      <c r="IA19" s="31" t="s">
        <v>56</v>
      </c>
      <c r="IB19" s="31">
        <v>0</v>
      </c>
      <c r="IC19" s="31">
        <v>0</v>
      </c>
      <c r="ID19" s="31" t="s">
        <v>56</v>
      </c>
      <c r="IE19" s="31">
        <v>0</v>
      </c>
      <c r="IF19" s="31">
        <v>0</v>
      </c>
      <c r="IG19" s="31" t="s">
        <v>56</v>
      </c>
      <c r="IH19" s="31">
        <v>0</v>
      </c>
      <c r="II19" s="31">
        <v>0</v>
      </c>
      <c r="IJ19" s="31" t="s">
        <v>56</v>
      </c>
      <c r="IK19" s="31">
        <v>0</v>
      </c>
      <c r="IL19" s="31">
        <v>0</v>
      </c>
      <c r="IM19" s="31" t="s">
        <v>56</v>
      </c>
      <c r="IN19" s="31">
        <v>0</v>
      </c>
      <c r="IO19" s="31">
        <v>0</v>
      </c>
      <c r="IP19" s="31" t="s">
        <v>56</v>
      </c>
      <c r="IQ19" s="31">
        <v>0</v>
      </c>
      <c r="IR19" s="31">
        <v>0</v>
      </c>
      <c r="IS19" s="31" t="s">
        <v>56</v>
      </c>
      <c r="IT19" s="11">
        <f t="shared" si="65"/>
        <v>607599.04009999987</v>
      </c>
      <c r="IU19" s="10">
        <f t="shared" si="66"/>
        <v>143488.65654999999</v>
      </c>
      <c r="IV19" s="10">
        <f t="shared" si="67"/>
        <v>23.61568190206231</v>
      </c>
      <c r="IW19" s="16"/>
      <c r="IX19" s="16"/>
      <c r="IZ19" s="18"/>
    </row>
    <row r="20" spans="1:260" ht="15.75" customHeight="1" x14ac:dyDescent="0.2">
      <c r="A20" s="13" t="s">
        <v>21</v>
      </c>
      <c r="B20" s="23">
        <f t="shared" si="47"/>
        <v>98223</v>
      </c>
      <c r="C20" s="23">
        <f t="shared" si="48"/>
        <v>0</v>
      </c>
      <c r="D20" s="24">
        <f t="shared" si="49"/>
        <v>0</v>
      </c>
      <c r="E20" s="30">
        <v>98223</v>
      </c>
      <c r="F20" s="31">
        <v>0</v>
      </c>
      <c r="G20" s="31">
        <f t="shared" si="50"/>
        <v>0</v>
      </c>
      <c r="H20" s="30">
        <v>0</v>
      </c>
      <c r="I20" s="30">
        <v>0</v>
      </c>
      <c r="J20" s="31" t="s">
        <v>56</v>
      </c>
      <c r="K20" s="31">
        <v>0</v>
      </c>
      <c r="L20" s="31">
        <v>0</v>
      </c>
      <c r="M20" s="31" t="s">
        <v>56</v>
      </c>
      <c r="N20" s="23">
        <f t="shared" si="51"/>
        <v>44124.352209999997</v>
      </c>
      <c r="O20" s="23">
        <f t="shared" si="52"/>
        <v>0</v>
      </c>
      <c r="P20" s="24">
        <f t="shared" si="53"/>
        <v>0</v>
      </c>
      <c r="Q20" s="31">
        <f>27520890/1000</f>
        <v>27520.89</v>
      </c>
      <c r="R20" s="31">
        <v>0</v>
      </c>
      <c r="S20" s="31">
        <f t="shared" si="68"/>
        <v>0</v>
      </c>
      <c r="T20" s="30">
        <v>0</v>
      </c>
      <c r="U20" s="31">
        <v>0</v>
      </c>
      <c r="V20" s="31" t="s">
        <v>56</v>
      </c>
      <c r="W20" s="30">
        <f>6482661.95/1000</f>
        <v>6482.6619500000006</v>
      </c>
      <c r="X20" s="31">
        <v>0</v>
      </c>
      <c r="Y20" s="31">
        <v>0</v>
      </c>
      <c r="Z20" s="30">
        <v>0</v>
      </c>
      <c r="AA20" s="31">
        <v>0</v>
      </c>
      <c r="AB20" s="31" t="s">
        <v>56</v>
      </c>
      <c r="AC20" s="30">
        <v>0</v>
      </c>
      <c r="AD20" s="31">
        <v>0</v>
      </c>
      <c r="AE20" s="31" t="s">
        <v>56</v>
      </c>
      <c r="AF20" s="30">
        <v>0</v>
      </c>
      <c r="AG20" s="31">
        <v>0</v>
      </c>
      <c r="AH20" s="31" t="s">
        <v>56</v>
      </c>
      <c r="AI20" s="30">
        <v>0</v>
      </c>
      <c r="AJ20" s="30">
        <v>0</v>
      </c>
      <c r="AK20" s="31" t="s">
        <v>56</v>
      </c>
      <c r="AL20" s="31">
        <f>519600/1000</f>
        <v>519.6</v>
      </c>
      <c r="AM20" s="31">
        <v>0</v>
      </c>
      <c r="AN20" s="31">
        <v>0</v>
      </c>
      <c r="AO20" s="31">
        <v>0</v>
      </c>
      <c r="AP20" s="31">
        <v>0</v>
      </c>
      <c r="AQ20" s="31" t="s">
        <v>56</v>
      </c>
      <c r="AR20" s="31">
        <v>0</v>
      </c>
      <c r="AS20" s="31">
        <v>0</v>
      </c>
      <c r="AT20" s="31" t="s">
        <v>56</v>
      </c>
      <c r="AU20" s="30">
        <f>668069.78/1000</f>
        <v>668.06978000000004</v>
      </c>
      <c r="AV20" s="31">
        <v>0</v>
      </c>
      <c r="AW20" s="31">
        <v>0</v>
      </c>
      <c r="AX20" s="30">
        <v>0</v>
      </c>
      <c r="AY20" s="31">
        <v>0</v>
      </c>
      <c r="AZ20" s="31" t="s">
        <v>56</v>
      </c>
      <c r="BA20" s="30">
        <v>0</v>
      </c>
      <c r="BB20" s="31">
        <v>0</v>
      </c>
      <c r="BC20" s="31" t="s">
        <v>56</v>
      </c>
      <c r="BD20" s="30">
        <f>111838.03/1000</f>
        <v>111.83803</v>
      </c>
      <c r="BE20" s="31">
        <v>0</v>
      </c>
      <c r="BF20" s="31">
        <f t="shared" ref="BF20:BF21" si="81">BE20/BD20%</f>
        <v>0</v>
      </c>
      <c r="BG20" s="30">
        <f>100000/1000</f>
        <v>100</v>
      </c>
      <c r="BH20" s="31">
        <v>0</v>
      </c>
      <c r="BI20" s="31">
        <v>0</v>
      </c>
      <c r="BJ20" s="30">
        <v>0</v>
      </c>
      <c r="BK20" s="31">
        <v>0</v>
      </c>
      <c r="BL20" s="31" t="s">
        <v>56</v>
      </c>
      <c r="BM20" s="30">
        <v>0</v>
      </c>
      <c r="BN20" s="31">
        <v>0</v>
      </c>
      <c r="BO20" s="31" t="s">
        <v>56</v>
      </c>
      <c r="BP20" s="30">
        <v>0</v>
      </c>
      <c r="BQ20" s="31">
        <v>0</v>
      </c>
      <c r="BR20" s="31" t="s">
        <v>56</v>
      </c>
      <c r="BS20" s="30">
        <v>0</v>
      </c>
      <c r="BT20" s="31">
        <v>0</v>
      </c>
      <c r="BU20" s="31" t="s">
        <v>56</v>
      </c>
      <c r="BV20" s="31">
        <v>0</v>
      </c>
      <c r="BW20" s="31">
        <v>0</v>
      </c>
      <c r="BX20" s="31" t="s">
        <v>56</v>
      </c>
      <c r="BY20" s="31">
        <v>0</v>
      </c>
      <c r="BZ20" s="31">
        <v>0</v>
      </c>
      <c r="CA20" s="32" t="s">
        <v>56</v>
      </c>
      <c r="CB20" s="30">
        <v>0</v>
      </c>
      <c r="CC20" s="30">
        <v>0</v>
      </c>
      <c r="CD20" s="33" t="s">
        <v>56</v>
      </c>
      <c r="CE20" s="30">
        <v>0</v>
      </c>
      <c r="CF20" s="30">
        <v>0</v>
      </c>
      <c r="CG20" s="33" t="s">
        <v>56</v>
      </c>
      <c r="CH20" s="33">
        <v>0</v>
      </c>
      <c r="CI20" s="33">
        <v>0</v>
      </c>
      <c r="CJ20" s="33" t="s">
        <v>56</v>
      </c>
      <c r="CK20" s="30">
        <v>0</v>
      </c>
      <c r="CL20" s="30">
        <v>0</v>
      </c>
      <c r="CM20" s="33" t="s">
        <v>56</v>
      </c>
      <c r="CN20" s="30">
        <v>0</v>
      </c>
      <c r="CO20" s="33">
        <v>0</v>
      </c>
      <c r="CP20" s="33" t="s">
        <v>56</v>
      </c>
      <c r="CQ20" s="33">
        <f>196392.45/1000</f>
        <v>196.39245000000003</v>
      </c>
      <c r="CR20" s="33">
        <v>0</v>
      </c>
      <c r="CS20" s="33">
        <v>0</v>
      </c>
      <c r="CT20" s="33">
        <v>0</v>
      </c>
      <c r="CU20" s="33">
        <v>0</v>
      </c>
      <c r="CV20" s="33" t="s">
        <v>56</v>
      </c>
      <c r="CW20" s="33">
        <v>0</v>
      </c>
      <c r="CX20" s="33">
        <v>0</v>
      </c>
      <c r="CY20" s="33" t="s">
        <v>56</v>
      </c>
      <c r="CZ20" s="33">
        <v>0</v>
      </c>
      <c r="DA20" s="33">
        <v>0</v>
      </c>
      <c r="DB20" s="33" t="s">
        <v>56</v>
      </c>
      <c r="DC20" s="33">
        <v>0</v>
      </c>
      <c r="DD20" s="33">
        <v>0</v>
      </c>
      <c r="DE20" s="33" t="s">
        <v>56</v>
      </c>
      <c r="DF20" s="33">
        <v>0</v>
      </c>
      <c r="DG20" s="33">
        <v>0</v>
      </c>
      <c r="DH20" s="33" t="s">
        <v>56</v>
      </c>
      <c r="DI20" s="33">
        <f>8524900/1000</f>
        <v>8524.9</v>
      </c>
      <c r="DJ20" s="33">
        <v>0</v>
      </c>
      <c r="DK20" s="33">
        <v>0</v>
      </c>
      <c r="DL20" s="33">
        <v>0</v>
      </c>
      <c r="DM20" s="33">
        <v>0</v>
      </c>
      <c r="DN20" s="33" t="s">
        <v>56</v>
      </c>
      <c r="DO20" s="33">
        <v>0</v>
      </c>
      <c r="DP20" s="33">
        <v>0</v>
      </c>
      <c r="DQ20" s="33" t="s">
        <v>56</v>
      </c>
      <c r="DR20" s="33">
        <v>0</v>
      </c>
      <c r="DS20" s="33">
        <v>0</v>
      </c>
      <c r="DT20" s="33" t="s">
        <v>56</v>
      </c>
      <c r="DU20" s="33">
        <v>0</v>
      </c>
      <c r="DV20" s="33">
        <v>0</v>
      </c>
      <c r="DW20" s="33" t="s">
        <v>56</v>
      </c>
      <c r="DX20" s="30">
        <v>0</v>
      </c>
      <c r="DY20" s="31">
        <v>0</v>
      </c>
      <c r="DZ20" s="33" t="s">
        <v>56</v>
      </c>
      <c r="EA20" s="30">
        <v>0</v>
      </c>
      <c r="EB20" s="31">
        <v>0</v>
      </c>
      <c r="EC20" s="33" t="s">
        <v>56</v>
      </c>
      <c r="ED20" s="23">
        <f t="shared" si="55"/>
        <v>246038.85</v>
      </c>
      <c r="EE20" s="23">
        <f t="shared" si="56"/>
        <v>57063.512939999993</v>
      </c>
      <c r="EF20" s="24">
        <f t="shared" si="57"/>
        <v>23.192887196473237</v>
      </c>
      <c r="EG20" s="34">
        <f>1359200/1000</f>
        <v>1359.2</v>
      </c>
      <c r="EH20" s="34">
        <v>384.2</v>
      </c>
      <c r="EI20" s="31">
        <f t="shared" si="26"/>
        <v>28.266627427898761</v>
      </c>
      <c r="EJ20" s="34">
        <v>0</v>
      </c>
      <c r="EK20" s="31">
        <v>0</v>
      </c>
      <c r="EL20" s="31" t="s">
        <v>56</v>
      </c>
      <c r="EM20" s="34">
        <f>50/1000</f>
        <v>0.05</v>
      </c>
      <c r="EN20" s="31">
        <v>0</v>
      </c>
      <c r="EO20" s="31">
        <f t="shared" si="29"/>
        <v>0</v>
      </c>
      <c r="EP20" s="34">
        <v>66866.3</v>
      </c>
      <c r="EQ20" s="31">
        <v>12363.314</v>
      </c>
      <c r="ER20" s="31">
        <f t="shared" si="58"/>
        <v>18.489603881177814</v>
      </c>
      <c r="ES20" s="31">
        <v>148671.1</v>
      </c>
      <c r="ET20" s="31">
        <v>38398.1</v>
      </c>
      <c r="EU20" s="36">
        <f t="shared" si="59"/>
        <v>25.827548191948534</v>
      </c>
      <c r="EV20" s="34">
        <f>9308300/1000</f>
        <v>9308.2999999999993</v>
      </c>
      <c r="EW20" s="33">
        <v>2304.5</v>
      </c>
      <c r="EX20" s="33">
        <f t="shared" si="60"/>
        <v>24.757474511994673</v>
      </c>
      <c r="EY20" s="34">
        <f>1807100/1000</f>
        <v>1807.1</v>
      </c>
      <c r="EZ20" s="31">
        <v>0</v>
      </c>
      <c r="FA20" s="31">
        <f t="shared" si="30"/>
        <v>0</v>
      </c>
      <c r="FB20" s="34">
        <v>0</v>
      </c>
      <c r="FC20" s="31">
        <v>0</v>
      </c>
      <c r="FD20" s="31" t="s">
        <v>56</v>
      </c>
      <c r="FE20" s="34">
        <v>0</v>
      </c>
      <c r="FF20" s="31">
        <v>0</v>
      </c>
      <c r="FG20" s="31" t="s">
        <v>56</v>
      </c>
      <c r="FH20" s="34">
        <f>261300/1000</f>
        <v>261.3</v>
      </c>
      <c r="FI20" s="31">
        <f>3840/1000</f>
        <v>3.84</v>
      </c>
      <c r="FJ20" s="31">
        <f t="shared" si="31"/>
        <v>1.4695752009184844</v>
      </c>
      <c r="FK20" s="34">
        <f>245000/1000</f>
        <v>245</v>
      </c>
      <c r="FL20" s="31">
        <v>61.2</v>
      </c>
      <c r="FM20" s="31">
        <f t="shared" si="33"/>
        <v>24.979591836734695</v>
      </c>
      <c r="FN20" s="34">
        <f>700/1000</f>
        <v>0.7</v>
      </c>
      <c r="FO20" s="31">
        <v>0</v>
      </c>
      <c r="FP20" s="31">
        <f t="shared" si="34"/>
        <v>0</v>
      </c>
      <c r="FQ20" s="34">
        <f>95500/1000</f>
        <v>95.5</v>
      </c>
      <c r="FR20" s="31">
        <v>24</v>
      </c>
      <c r="FS20" s="31">
        <f t="shared" si="69"/>
        <v>25.130890052356023</v>
      </c>
      <c r="FT20" s="34">
        <f>1500/1000</f>
        <v>1.5</v>
      </c>
      <c r="FU20" s="31">
        <v>0</v>
      </c>
      <c r="FV20" s="31">
        <f t="shared" si="73"/>
        <v>0</v>
      </c>
      <c r="FW20" s="34">
        <f>565600/1000</f>
        <v>565.6</v>
      </c>
      <c r="FX20" s="31">
        <f>109314/1000</f>
        <v>109.31399999999999</v>
      </c>
      <c r="FY20" s="31">
        <f t="shared" si="36"/>
        <v>19.327086280056573</v>
      </c>
      <c r="FZ20" s="34">
        <f>198400/1000</f>
        <v>198.4</v>
      </c>
      <c r="GA20" s="31">
        <f>50932.39/1000</f>
        <v>50.932389999999998</v>
      </c>
      <c r="GB20" s="31">
        <f t="shared" si="37"/>
        <v>25.671567540322581</v>
      </c>
      <c r="GC20" s="34">
        <v>0</v>
      </c>
      <c r="GD20" s="31">
        <v>0</v>
      </c>
      <c r="GE20" s="31" t="s">
        <v>56</v>
      </c>
      <c r="GF20" s="35">
        <v>0</v>
      </c>
      <c r="GG20" s="31">
        <v>0</v>
      </c>
      <c r="GH20" s="31" t="s">
        <v>56</v>
      </c>
      <c r="GI20" s="35">
        <v>1502.9</v>
      </c>
      <c r="GJ20" s="31">
        <v>303.87094999999999</v>
      </c>
      <c r="GK20" s="31">
        <f t="shared" si="40"/>
        <v>20.218973318251379</v>
      </c>
      <c r="GL20" s="34">
        <v>0</v>
      </c>
      <c r="GM20" s="34">
        <v>0</v>
      </c>
      <c r="GN20" s="31" t="s">
        <v>56</v>
      </c>
      <c r="GO20" s="34">
        <f>43800/1000</f>
        <v>43.8</v>
      </c>
      <c r="GP20" s="31">
        <v>7</v>
      </c>
      <c r="GQ20" s="31">
        <f t="shared" si="76"/>
        <v>15.981735159817354</v>
      </c>
      <c r="GR20" s="34">
        <f>654900/1000</f>
        <v>654.9</v>
      </c>
      <c r="GS20" s="31">
        <v>163.9</v>
      </c>
      <c r="GT20" s="31">
        <f t="shared" si="75"/>
        <v>25.026721636891132</v>
      </c>
      <c r="GU20" s="34">
        <f>1683000/1000</f>
        <v>1683</v>
      </c>
      <c r="GV20" s="31">
        <v>0</v>
      </c>
      <c r="GW20" s="31">
        <f t="shared" si="43"/>
        <v>0</v>
      </c>
      <c r="GX20" s="34">
        <f>188700/1000</f>
        <v>188.7</v>
      </c>
      <c r="GY20" s="31">
        <v>0</v>
      </c>
      <c r="GZ20" s="31">
        <v>0</v>
      </c>
      <c r="HA20" s="31">
        <f>(421800+10368700)/1000</f>
        <v>10790.5</v>
      </c>
      <c r="HB20" s="31">
        <f>2739741.6/1000</f>
        <v>2739.7416000000003</v>
      </c>
      <c r="HC20" s="36">
        <f t="shared" si="61"/>
        <v>25.390311848385156</v>
      </c>
      <c r="HD20" s="34">
        <f>1795000/1000</f>
        <v>1795</v>
      </c>
      <c r="HE20" s="31">
        <v>149.6</v>
      </c>
      <c r="HF20" s="31">
        <f t="shared" si="62"/>
        <v>8.3342618384401117</v>
      </c>
      <c r="HG20" s="28">
        <f t="shared" si="63"/>
        <v>3993.7</v>
      </c>
      <c r="HH20" s="28">
        <f t="shared" si="64"/>
        <v>0</v>
      </c>
      <c r="HI20" s="26">
        <f t="shared" si="46"/>
        <v>0</v>
      </c>
      <c r="HJ20" s="37">
        <v>0</v>
      </c>
      <c r="HK20" s="37">
        <v>0</v>
      </c>
      <c r="HL20" s="37" t="s">
        <v>56</v>
      </c>
      <c r="HM20" s="33">
        <v>0</v>
      </c>
      <c r="HN20" s="33">
        <v>0</v>
      </c>
      <c r="HO20" s="33" t="s">
        <v>56</v>
      </c>
      <c r="HP20" s="33">
        <f>3993700/1000</f>
        <v>3993.7</v>
      </c>
      <c r="HQ20" s="37">
        <v>0</v>
      </c>
      <c r="HR20" s="37">
        <v>0</v>
      </c>
      <c r="HS20" s="37">
        <v>0</v>
      </c>
      <c r="HT20" s="37">
        <v>0</v>
      </c>
      <c r="HU20" s="37" t="s">
        <v>56</v>
      </c>
      <c r="HV20" s="30">
        <v>0</v>
      </c>
      <c r="HW20" s="31">
        <v>0</v>
      </c>
      <c r="HX20" s="31" t="s">
        <v>56</v>
      </c>
      <c r="HY20" s="30">
        <v>0</v>
      </c>
      <c r="HZ20" s="31">
        <v>0</v>
      </c>
      <c r="IA20" s="31" t="s">
        <v>56</v>
      </c>
      <c r="IB20" s="31">
        <v>0</v>
      </c>
      <c r="IC20" s="31">
        <v>0</v>
      </c>
      <c r="ID20" s="31" t="s">
        <v>56</v>
      </c>
      <c r="IE20" s="31">
        <v>0</v>
      </c>
      <c r="IF20" s="31">
        <v>0</v>
      </c>
      <c r="IG20" s="31" t="s">
        <v>56</v>
      </c>
      <c r="IH20" s="31">
        <v>0</v>
      </c>
      <c r="II20" s="31">
        <v>0</v>
      </c>
      <c r="IJ20" s="31" t="s">
        <v>56</v>
      </c>
      <c r="IK20" s="31">
        <v>0</v>
      </c>
      <c r="IL20" s="31">
        <v>0</v>
      </c>
      <c r="IM20" s="31" t="s">
        <v>56</v>
      </c>
      <c r="IN20" s="31">
        <v>0</v>
      </c>
      <c r="IO20" s="31">
        <v>0</v>
      </c>
      <c r="IP20" s="31" t="s">
        <v>56</v>
      </c>
      <c r="IQ20" s="31">
        <v>0</v>
      </c>
      <c r="IR20" s="31">
        <v>0</v>
      </c>
      <c r="IS20" s="31" t="s">
        <v>56</v>
      </c>
      <c r="IT20" s="11">
        <f t="shared" si="65"/>
        <v>392379.90221000003</v>
      </c>
      <c r="IU20" s="10">
        <f t="shared" si="66"/>
        <v>57063.512939999993</v>
      </c>
      <c r="IV20" s="10">
        <f t="shared" si="67"/>
        <v>14.542924502147372</v>
      </c>
      <c r="IW20" s="16"/>
      <c r="IX20" s="16"/>
      <c r="IZ20" s="18"/>
    </row>
    <row r="21" spans="1:260" x14ac:dyDescent="0.2">
      <c r="A21" s="13" t="s">
        <v>22</v>
      </c>
      <c r="B21" s="23">
        <f t="shared" si="47"/>
        <v>188296</v>
      </c>
      <c r="C21" s="23">
        <f t="shared" si="48"/>
        <v>75667.3</v>
      </c>
      <c r="D21" s="24">
        <f t="shared" si="49"/>
        <v>40.18529336788886</v>
      </c>
      <c r="E21" s="30">
        <v>188296</v>
      </c>
      <c r="F21" s="31">
        <v>75667.3</v>
      </c>
      <c r="G21" s="31">
        <f t="shared" si="50"/>
        <v>40.18529336788886</v>
      </c>
      <c r="H21" s="30">
        <v>0</v>
      </c>
      <c r="I21" s="30">
        <v>0</v>
      </c>
      <c r="J21" s="31" t="s">
        <v>56</v>
      </c>
      <c r="K21" s="31">
        <v>0</v>
      </c>
      <c r="L21" s="31">
        <v>0</v>
      </c>
      <c r="M21" s="31" t="s">
        <v>56</v>
      </c>
      <c r="N21" s="23">
        <f t="shared" si="51"/>
        <v>63009.489969999995</v>
      </c>
      <c r="O21" s="23">
        <f t="shared" si="52"/>
        <v>206.8</v>
      </c>
      <c r="P21" s="24">
        <f t="shared" si="53"/>
        <v>0.32820452934702599</v>
      </c>
      <c r="Q21" s="31">
        <f>24380640/1000</f>
        <v>24380.639999999999</v>
      </c>
      <c r="R21" s="31">
        <v>0</v>
      </c>
      <c r="S21" s="31">
        <f t="shared" si="68"/>
        <v>0</v>
      </c>
      <c r="T21" s="30">
        <v>0</v>
      </c>
      <c r="U21" s="31">
        <v>0</v>
      </c>
      <c r="V21" s="31" t="s">
        <v>56</v>
      </c>
      <c r="W21" s="30">
        <f>9869937.07/1000</f>
        <v>9869.9370699999999</v>
      </c>
      <c r="X21" s="31">
        <v>0</v>
      </c>
      <c r="Y21" s="31">
        <v>0</v>
      </c>
      <c r="Z21" s="30">
        <v>0</v>
      </c>
      <c r="AA21" s="31">
        <v>0</v>
      </c>
      <c r="AB21" s="31" t="s">
        <v>56</v>
      </c>
      <c r="AC21" s="30">
        <v>0</v>
      </c>
      <c r="AD21" s="31">
        <v>0</v>
      </c>
      <c r="AE21" s="31" t="s">
        <v>56</v>
      </c>
      <c r="AF21" s="30">
        <v>0</v>
      </c>
      <c r="AG21" s="31">
        <v>0</v>
      </c>
      <c r="AH21" s="31" t="s">
        <v>56</v>
      </c>
      <c r="AI21" s="30">
        <v>0</v>
      </c>
      <c r="AJ21" s="30">
        <v>0</v>
      </c>
      <c r="AK21" s="31" t="s">
        <v>56</v>
      </c>
      <c r="AL21" s="31">
        <f>3294500/1000</f>
        <v>3294.5</v>
      </c>
      <c r="AM21" s="31">
        <v>0</v>
      </c>
      <c r="AN21" s="31">
        <v>0</v>
      </c>
      <c r="AO21" s="31">
        <v>0</v>
      </c>
      <c r="AP21" s="31">
        <v>0</v>
      </c>
      <c r="AQ21" s="31" t="s">
        <v>56</v>
      </c>
      <c r="AR21" s="31">
        <v>0</v>
      </c>
      <c r="AS21" s="31">
        <v>0</v>
      </c>
      <c r="AT21" s="31" t="s">
        <v>56</v>
      </c>
      <c r="AU21" s="30">
        <f>1224794.6/1000</f>
        <v>1224.7946000000002</v>
      </c>
      <c r="AV21" s="31">
        <v>0</v>
      </c>
      <c r="AW21" s="31">
        <v>0</v>
      </c>
      <c r="AX21" s="30">
        <v>0</v>
      </c>
      <c r="AY21" s="31">
        <v>0</v>
      </c>
      <c r="AZ21" s="31" t="s">
        <v>56</v>
      </c>
      <c r="BA21" s="30">
        <v>0</v>
      </c>
      <c r="BB21" s="31">
        <v>0</v>
      </c>
      <c r="BC21" s="31" t="s">
        <v>56</v>
      </c>
      <c r="BD21" s="30">
        <f>134205.63/1000</f>
        <v>134.20563000000001</v>
      </c>
      <c r="BE21" s="31">
        <v>0</v>
      </c>
      <c r="BF21" s="31">
        <f t="shared" si="81"/>
        <v>0</v>
      </c>
      <c r="BG21" s="30">
        <f>250000/1000</f>
        <v>250</v>
      </c>
      <c r="BH21" s="31">
        <v>0</v>
      </c>
      <c r="BI21" s="31">
        <v>0</v>
      </c>
      <c r="BJ21" s="30">
        <v>0</v>
      </c>
      <c r="BK21" s="31">
        <v>0</v>
      </c>
      <c r="BL21" s="31" t="s">
        <v>56</v>
      </c>
      <c r="BM21" s="30">
        <v>0</v>
      </c>
      <c r="BN21" s="31">
        <v>0</v>
      </c>
      <c r="BO21" s="31" t="s">
        <v>56</v>
      </c>
      <c r="BP21" s="30">
        <v>0</v>
      </c>
      <c r="BQ21" s="31">
        <v>0</v>
      </c>
      <c r="BR21" s="31" t="s">
        <v>56</v>
      </c>
      <c r="BS21" s="30">
        <v>0</v>
      </c>
      <c r="BT21" s="31">
        <v>0</v>
      </c>
      <c r="BU21" s="31" t="s">
        <v>56</v>
      </c>
      <c r="BV21" s="31">
        <v>0</v>
      </c>
      <c r="BW21" s="31">
        <v>0</v>
      </c>
      <c r="BX21" s="31" t="s">
        <v>56</v>
      </c>
      <c r="BY21" s="31">
        <v>3447.6</v>
      </c>
      <c r="BZ21" s="31">
        <v>206.8</v>
      </c>
      <c r="CA21" s="32">
        <f t="shared" si="54"/>
        <v>5.9983756816336005</v>
      </c>
      <c r="CB21" s="30">
        <v>0</v>
      </c>
      <c r="CC21" s="30">
        <v>0</v>
      </c>
      <c r="CD21" s="33" t="s">
        <v>56</v>
      </c>
      <c r="CE21" s="30">
        <v>0</v>
      </c>
      <c r="CF21" s="30">
        <v>0</v>
      </c>
      <c r="CG21" s="33" t="s">
        <v>56</v>
      </c>
      <c r="CH21" s="33">
        <v>0</v>
      </c>
      <c r="CI21" s="33">
        <v>0</v>
      </c>
      <c r="CJ21" s="33" t="s">
        <v>56</v>
      </c>
      <c r="CK21" s="30">
        <v>0</v>
      </c>
      <c r="CL21" s="30">
        <v>0</v>
      </c>
      <c r="CM21" s="33" t="s">
        <v>56</v>
      </c>
      <c r="CN21" s="30">
        <v>0</v>
      </c>
      <c r="CO21" s="33">
        <v>0</v>
      </c>
      <c r="CP21" s="33" t="s">
        <v>56</v>
      </c>
      <c r="CQ21" s="33">
        <f>229426.67/1000</f>
        <v>229.42667</v>
      </c>
      <c r="CR21" s="33">
        <v>0</v>
      </c>
      <c r="CS21" s="33">
        <v>0</v>
      </c>
      <c r="CT21" s="33">
        <v>0</v>
      </c>
      <c r="CU21" s="33">
        <v>0</v>
      </c>
      <c r="CV21" s="33" t="s">
        <v>56</v>
      </c>
      <c r="CW21" s="33">
        <f>7527621/1000</f>
        <v>7527.6210000000001</v>
      </c>
      <c r="CX21" s="33">
        <v>0</v>
      </c>
      <c r="CY21" s="33">
        <v>0</v>
      </c>
      <c r="CZ21" s="33">
        <f>2035724/1000</f>
        <v>2035.7239999999999</v>
      </c>
      <c r="DA21" s="33">
        <v>0</v>
      </c>
      <c r="DB21" s="33">
        <f t="shared" si="71"/>
        <v>0</v>
      </c>
      <c r="DC21" s="33">
        <v>0</v>
      </c>
      <c r="DD21" s="33">
        <v>0</v>
      </c>
      <c r="DE21" s="33" t="s">
        <v>56</v>
      </c>
      <c r="DF21" s="33">
        <v>0</v>
      </c>
      <c r="DG21" s="33">
        <v>0</v>
      </c>
      <c r="DH21" s="33" t="s">
        <v>56</v>
      </c>
      <c r="DI21" s="33">
        <f>8067000/1000</f>
        <v>8067</v>
      </c>
      <c r="DJ21" s="33">
        <v>0</v>
      </c>
      <c r="DK21" s="33">
        <v>0</v>
      </c>
      <c r="DL21" s="33">
        <v>0</v>
      </c>
      <c r="DM21" s="33">
        <v>0</v>
      </c>
      <c r="DN21" s="33" t="s">
        <v>56</v>
      </c>
      <c r="DO21" s="33">
        <v>0</v>
      </c>
      <c r="DP21" s="33">
        <v>0</v>
      </c>
      <c r="DQ21" s="33" t="s">
        <v>56</v>
      </c>
      <c r="DR21" s="33">
        <v>0</v>
      </c>
      <c r="DS21" s="33">
        <v>0</v>
      </c>
      <c r="DT21" s="33" t="s">
        <v>56</v>
      </c>
      <c r="DU21" s="33">
        <v>0</v>
      </c>
      <c r="DV21" s="33">
        <v>0</v>
      </c>
      <c r="DW21" s="33" t="s">
        <v>56</v>
      </c>
      <c r="DX21" s="30">
        <v>0</v>
      </c>
      <c r="DY21" s="31">
        <v>0</v>
      </c>
      <c r="DZ21" s="33" t="s">
        <v>56</v>
      </c>
      <c r="EA21" s="30">
        <f>2548041/1000</f>
        <v>2548.0410000000002</v>
      </c>
      <c r="EB21" s="31">
        <v>0</v>
      </c>
      <c r="EC21" s="33">
        <f>EB21/EA21%</f>
        <v>0</v>
      </c>
      <c r="ED21" s="23">
        <f t="shared" si="55"/>
        <v>450219.6939999999</v>
      </c>
      <c r="EE21" s="23">
        <f t="shared" si="56"/>
        <v>121868.61339999999</v>
      </c>
      <c r="EF21" s="24">
        <f t="shared" si="57"/>
        <v>27.06869890947063</v>
      </c>
      <c r="EG21" s="34">
        <f>3483700/1000</f>
        <v>3483.7</v>
      </c>
      <c r="EH21" s="34">
        <v>491.8</v>
      </c>
      <c r="EI21" s="31">
        <f t="shared" si="26"/>
        <v>14.117174268737264</v>
      </c>
      <c r="EJ21" s="34">
        <f>114200/1000</f>
        <v>114.2</v>
      </c>
      <c r="EK21" s="31">
        <v>0</v>
      </c>
      <c r="EL21" s="31">
        <f t="shared" si="79"/>
        <v>0</v>
      </c>
      <c r="EM21" s="34">
        <f>74/1000</f>
        <v>7.3999999999999996E-2</v>
      </c>
      <c r="EN21" s="31">
        <v>0</v>
      </c>
      <c r="EO21" s="31">
        <f t="shared" si="29"/>
        <v>0</v>
      </c>
      <c r="EP21" s="34">
        <v>162289.79999999999</v>
      </c>
      <c r="EQ21" s="31">
        <v>29187.809000000001</v>
      </c>
      <c r="ER21" s="31">
        <f t="shared" si="58"/>
        <v>17.984992895425346</v>
      </c>
      <c r="ES21" s="31">
        <v>224947.3</v>
      </c>
      <c r="ET21" s="31">
        <v>80684.5</v>
      </c>
      <c r="EU21" s="36">
        <f t="shared" si="59"/>
        <v>35.868178902347353</v>
      </c>
      <c r="EV21" s="34">
        <f>22623300/1000</f>
        <v>22623.3</v>
      </c>
      <c r="EW21" s="33">
        <v>5453.7</v>
      </c>
      <c r="EX21" s="33">
        <f t="shared" si="60"/>
        <v>24.106562703053928</v>
      </c>
      <c r="EY21" s="34">
        <f>7959600/1000</f>
        <v>7959.6</v>
      </c>
      <c r="EZ21" s="31">
        <v>0</v>
      </c>
      <c r="FA21" s="31">
        <f t="shared" si="30"/>
        <v>0</v>
      </c>
      <c r="FB21" s="34">
        <f>501000/1000</f>
        <v>501</v>
      </c>
      <c r="FC21" s="31">
        <v>0</v>
      </c>
      <c r="FD21" s="31">
        <v>0</v>
      </c>
      <c r="FE21" s="34">
        <v>0</v>
      </c>
      <c r="FF21" s="31">
        <v>0</v>
      </c>
      <c r="FG21" s="31" t="s">
        <v>56</v>
      </c>
      <c r="FH21" s="34">
        <f>457620/1000</f>
        <v>457.62</v>
      </c>
      <c r="FI21" s="31">
        <f>88190/1000</f>
        <v>88.19</v>
      </c>
      <c r="FJ21" s="31">
        <f t="shared" si="31"/>
        <v>19.271447926227001</v>
      </c>
      <c r="FK21" s="34">
        <f>262500/1000</f>
        <v>262.5</v>
      </c>
      <c r="FL21" s="31">
        <v>65.7</v>
      </c>
      <c r="FM21" s="31">
        <f t="shared" si="33"/>
        <v>25.028571428571428</v>
      </c>
      <c r="FN21" s="34">
        <f>400/1000</f>
        <v>0.4</v>
      </c>
      <c r="FO21" s="31">
        <v>0</v>
      </c>
      <c r="FP21" s="31">
        <f t="shared" si="34"/>
        <v>0</v>
      </c>
      <c r="FQ21" s="34">
        <f>222800/1000</f>
        <v>222.8</v>
      </c>
      <c r="FR21" s="31">
        <v>55.8</v>
      </c>
      <c r="FS21" s="31">
        <f t="shared" si="69"/>
        <v>25.044883303411126</v>
      </c>
      <c r="FT21" s="34">
        <f>2500/1000</f>
        <v>2.5</v>
      </c>
      <c r="FU21" s="31">
        <v>0</v>
      </c>
      <c r="FV21" s="31">
        <f t="shared" si="73"/>
        <v>0</v>
      </c>
      <c r="FW21" s="34">
        <f>592600/1000</f>
        <v>592.6</v>
      </c>
      <c r="FX21" s="31">
        <f>123177/1000</f>
        <v>123.17700000000001</v>
      </c>
      <c r="FY21" s="31">
        <f t="shared" si="36"/>
        <v>20.785858926763417</v>
      </c>
      <c r="FZ21" s="34">
        <f>419800/1000</f>
        <v>419.8</v>
      </c>
      <c r="GA21" s="31">
        <f>100810.38/1000</f>
        <v>100.81038000000001</v>
      </c>
      <c r="GB21" s="31">
        <f t="shared" si="37"/>
        <v>24.013906622201048</v>
      </c>
      <c r="GC21" s="34">
        <v>0</v>
      </c>
      <c r="GD21" s="31">
        <v>0</v>
      </c>
      <c r="GE21" s="31" t="s">
        <v>56</v>
      </c>
      <c r="GF21" s="35">
        <v>0</v>
      </c>
      <c r="GG21" s="31">
        <v>0</v>
      </c>
      <c r="GH21" s="31" t="s">
        <v>56</v>
      </c>
      <c r="GI21" s="35">
        <v>2435</v>
      </c>
      <c r="GJ21" s="31">
        <v>396.85302000000007</v>
      </c>
      <c r="GK21" s="31">
        <f t="shared" si="40"/>
        <v>16.297865297741275</v>
      </c>
      <c r="GL21" s="34">
        <v>0</v>
      </c>
      <c r="GM21" s="34">
        <v>0</v>
      </c>
      <c r="GN21" s="31" t="s">
        <v>56</v>
      </c>
      <c r="GO21" s="34">
        <f>501500/1000</f>
        <v>501.5</v>
      </c>
      <c r="GP21" s="31">
        <f>122004/1000</f>
        <v>122.004</v>
      </c>
      <c r="GQ21" s="31">
        <f t="shared" si="76"/>
        <v>24.327816550348956</v>
      </c>
      <c r="GR21" s="34">
        <f>4664500/1000</f>
        <v>4664.5</v>
      </c>
      <c r="GS21" s="31">
        <v>1060</v>
      </c>
      <c r="GT21" s="31">
        <f t="shared" si="75"/>
        <v>22.724836531246648</v>
      </c>
      <c r="GU21" s="34">
        <f>1610000/1000</f>
        <v>1610</v>
      </c>
      <c r="GV21" s="31">
        <v>0</v>
      </c>
      <c r="GW21" s="31">
        <f t="shared" si="43"/>
        <v>0</v>
      </c>
      <c r="GX21" s="34">
        <f>385200/1000</f>
        <v>385.2</v>
      </c>
      <c r="GY21" s="31">
        <v>0</v>
      </c>
      <c r="GZ21" s="31">
        <v>0</v>
      </c>
      <c r="HA21" s="31">
        <f>(275300+12673000)/1000</f>
        <v>12948.3</v>
      </c>
      <c r="HB21" s="31">
        <v>3088.77</v>
      </c>
      <c r="HC21" s="36">
        <f t="shared" si="61"/>
        <v>23.854637288292675</v>
      </c>
      <c r="HD21" s="34">
        <f>3798000/1000</f>
        <v>3798</v>
      </c>
      <c r="HE21" s="31">
        <v>949.5</v>
      </c>
      <c r="HF21" s="31">
        <f t="shared" si="62"/>
        <v>25</v>
      </c>
      <c r="HG21" s="28">
        <f t="shared" si="63"/>
        <v>8397.6</v>
      </c>
      <c r="HH21" s="28">
        <f t="shared" si="64"/>
        <v>0</v>
      </c>
      <c r="HI21" s="26">
        <f t="shared" si="46"/>
        <v>0</v>
      </c>
      <c r="HJ21" s="37">
        <v>0</v>
      </c>
      <c r="HK21" s="37">
        <v>0</v>
      </c>
      <c r="HL21" s="37" t="s">
        <v>56</v>
      </c>
      <c r="HM21" s="33">
        <v>0</v>
      </c>
      <c r="HN21" s="33">
        <v>0</v>
      </c>
      <c r="HO21" s="33" t="s">
        <v>56</v>
      </c>
      <c r="HP21" s="33">
        <f>8397600/1000</f>
        <v>8397.6</v>
      </c>
      <c r="HQ21" s="37">
        <v>0</v>
      </c>
      <c r="HR21" s="37">
        <v>0</v>
      </c>
      <c r="HS21" s="37">
        <v>0</v>
      </c>
      <c r="HT21" s="37">
        <v>0</v>
      </c>
      <c r="HU21" s="37" t="s">
        <v>56</v>
      </c>
      <c r="HV21" s="30">
        <v>0</v>
      </c>
      <c r="HW21" s="31">
        <v>0</v>
      </c>
      <c r="HX21" s="31" t="s">
        <v>56</v>
      </c>
      <c r="HY21" s="30">
        <v>0</v>
      </c>
      <c r="HZ21" s="31">
        <v>0</v>
      </c>
      <c r="IA21" s="31" t="s">
        <v>56</v>
      </c>
      <c r="IB21" s="31">
        <v>0</v>
      </c>
      <c r="IC21" s="31">
        <v>0</v>
      </c>
      <c r="ID21" s="31" t="s">
        <v>56</v>
      </c>
      <c r="IE21" s="31">
        <v>0</v>
      </c>
      <c r="IF21" s="31">
        <v>0</v>
      </c>
      <c r="IG21" s="31" t="s">
        <v>56</v>
      </c>
      <c r="IH21" s="31">
        <v>0</v>
      </c>
      <c r="II21" s="31">
        <v>0</v>
      </c>
      <c r="IJ21" s="31" t="s">
        <v>56</v>
      </c>
      <c r="IK21" s="31">
        <v>0</v>
      </c>
      <c r="IL21" s="31">
        <v>0</v>
      </c>
      <c r="IM21" s="31" t="s">
        <v>56</v>
      </c>
      <c r="IN21" s="31">
        <v>0</v>
      </c>
      <c r="IO21" s="31">
        <v>0</v>
      </c>
      <c r="IP21" s="31" t="s">
        <v>56</v>
      </c>
      <c r="IQ21" s="31">
        <v>0</v>
      </c>
      <c r="IR21" s="31">
        <v>0</v>
      </c>
      <c r="IS21" s="31" t="s">
        <v>56</v>
      </c>
      <c r="IT21" s="11">
        <f t="shared" si="65"/>
        <v>709922.78396999987</v>
      </c>
      <c r="IU21" s="10">
        <f t="shared" si="66"/>
        <v>197742.71340000001</v>
      </c>
      <c r="IV21" s="10">
        <f t="shared" si="67"/>
        <v>27.854115667931044</v>
      </c>
      <c r="IW21" s="16"/>
      <c r="IX21" s="16"/>
      <c r="IZ21" s="18"/>
    </row>
    <row r="22" spans="1:260" x14ac:dyDescent="0.2">
      <c r="A22" s="13" t="s">
        <v>23</v>
      </c>
      <c r="B22" s="23">
        <f t="shared" si="47"/>
        <v>56977</v>
      </c>
      <c r="C22" s="23">
        <f t="shared" si="48"/>
        <v>2700</v>
      </c>
      <c r="D22" s="24">
        <f t="shared" si="49"/>
        <v>4.7387542341646629</v>
      </c>
      <c r="E22" s="30">
        <v>56977</v>
      </c>
      <c r="F22" s="31">
        <v>2700</v>
      </c>
      <c r="G22" s="31">
        <f t="shared" si="50"/>
        <v>4.7387542341646629</v>
      </c>
      <c r="H22" s="30">
        <v>0</v>
      </c>
      <c r="I22" s="30">
        <v>0</v>
      </c>
      <c r="J22" s="31" t="s">
        <v>56</v>
      </c>
      <c r="K22" s="31">
        <v>0</v>
      </c>
      <c r="L22" s="31">
        <v>0</v>
      </c>
      <c r="M22" s="31" t="s">
        <v>56</v>
      </c>
      <c r="N22" s="23">
        <f t="shared" si="51"/>
        <v>135792.171</v>
      </c>
      <c r="O22" s="23">
        <f t="shared" si="52"/>
        <v>0</v>
      </c>
      <c r="P22" s="24">
        <f t="shared" si="53"/>
        <v>0</v>
      </c>
      <c r="Q22" s="31">
        <f>8126880/1000</f>
        <v>8126.88</v>
      </c>
      <c r="R22" s="31">
        <v>0</v>
      </c>
      <c r="S22" s="31">
        <f t="shared" si="68"/>
        <v>0</v>
      </c>
      <c r="T22" s="30">
        <v>0</v>
      </c>
      <c r="U22" s="31">
        <v>0</v>
      </c>
      <c r="V22" s="31" t="s">
        <v>56</v>
      </c>
      <c r="W22" s="30">
        <v>0</v>
      </c>
      <c r="X22" s="31">
        <v>0</v>
      </c>
      <c r="Y22" s="31" t="s">
        <v>56</v>
      </c>
      <c r="Z22" s="30">
        <v>0</v>
      </c>
      <c r="AA22" s="31">
        <v>0</v>
      </c>
      <c r="AB22" s="31" t="s">
        <v>56</v>
      </c>
      <c r="AC22" s="30">
        <v>0</v>
      </c>
      <c r="AD22" s="31">
        <v>0</v>
      </c>
      <c r="AE22" s="31" t="s">
        <v>56</v>
      </c>
      <c r="AF22" s="30">
        <v>0</v>
      </c>
      <c r="AG22" s="31">
        <v>0</v>
      </c>
      <c r="AH22" s="31" t="s">
        <v>56</v>
      </c>
      <c r="AI22" s="30">
        <v>0</v>
      </c>
      <c r="AJ22" s="30">
        <v>0</v>
      </c>
      <c r="AK22" s="31" t="s">
        <v>56</v>
      </c>
      <c r="AL22" s="31">
        <f>2729500/1000</f>
        <v>2729.5</v>
      </c>
      <c r="AM22" s="31">
        <v>0</v>
      </c>
      <c r="AN22" s="31">
        <v>0</v>
      </c>
      <c r="AO22" s="31">
        <v>0</v>
      </c>
      <c r="AP22" s="31">
        <v>0</v>
      </c>
      <c r="AQ22" s="31" t="s">
        <v>56</v>
      </c>
      <c r="AR22" s="31">
        <v>0</v>
      </c>
      <c r="AS22" s="31">
        <v>0</v>
      </c>
      <c r="AT22" s="31" t="s">
        <v>56</v>
      </c>
      <c r="AU22" s="30">
        <f>2005840/1000</f>
        <v>2005.84</v>
      </c>
      <c r="AV22" s="31">
        <v>0</v>
      </c>
      <c r="AW22" s="31">
        <v>0</v>
      </c>
      <c r="AX22" s="30">
        <v>0</v>
      </c>
      <c r="AY22" s="31">
        <v>0</v>
      </c>
      <c r="AZ22" s="31" t="s">
        <v>56</v>
      </c>
      <c r="BA22" s="30">
        <v>0</v>
      </c>
      <c r="BB22" s="31">
        <v>0</v>
      </c>
      <c r="BC22" s="31" t="s">
        <v>56</v>
      </c>
      <c r="BD22" s="30">
        <v>0</v>
      </c>
      <c r="BE22" s="31">
        <v>0</v>
      </c>
      <c r="BF22" s="31" t="s">
        <v>56</v>
      </c>
      <c r="BG22" s="30">
        <f>100000/1000</f>
        <v>100</v>
      </c>
      <c r="BH22" s="31">
        <v>0</v>
      </c>
      <c r="BI22" s="31">
        <v>0</v>
      </c>
      <c r="BJ22" s="30">
        <v>0</v>
      </c>
      <c r="BK22" s="31">
        <v>0</v>
      </c>
      <c r="BL22" s="31" t="s">
        <v>56</v>
      </c>
      <c r="BM22" s="30">
        <v>0</v>
      </c>
      <c r="BN22" s="31">
        <v>0</v>
      </c>
      <c r="BO22" s="31" t="s">
        <v>56</v>
      </c>
      <c r="BP22" s="30">
        <v>0</v>
      </c>
      <c r="BQ22" s="31">
        <v>0</v>
      </c>
      <c r="BR22" s="31" t="s">
        <v>56</v>
      </c>
      <c r="BS22" s="30">
        <v>0</v>
      </c>
      <c r="BT22" s="31">
        <v>0</v>
      </c>
      <c r="BU22" s="31" t="s">
        <v>56</v>
      </c>
      <c r="BV22" s="31">
        <v>0</v>
      </c>
      <c r="BW22" s="31">
        <v>0</v>
      </c>
      <c r="BX22" s="31" t="s">
        <v>56</v>
      </c>
      <c r="BY22" s="31">
        <v>0</v>
      </c>
      <c r="BZ22" s="31">
        <v>0</v>
      </c>
      <c r="CA22" s="32" t="s">
        <v>56</v>
      </c>
      <c r="CB22" s="30">
        <v>0</v>
      </c>
      <c r="CC22" s="30">
        <v>0</v>
      </c>
      <c r="CD22" s="33" t="s">
        <v>56</v>
      </c>
      <c r="CE22" s="30">
        <v>0</v>
      </c>
      <c r="CF22" s="30">
        <v>0</v>
      </c>
      <c r="CG22" s="33" t="s">
        <v>56</v>
      </c>
      <c r="CH22" s="33">
        <v>0</v>
      </c>
      <c r="CI22" s="33">
        <v>0</v>
      </c>
      <c r="CJ22" s="33" t="s">
        <v>56</v>
      </c>
      <c r="CK22" s="30">
        <v>0</v>
      </c>
      <c r="CL22" s="30">
        <v>0</v>
      </c>
      <c r="CM22" s="33" t="s">
        <v>56</v>
      </c>
      <c r="CN22" s="30">
        <f>6272475/1000</f>
        <v>6272.4750000000004</v>
      </c>
      <c r="CO22" s="33">
        <v>0</v>
      </c>
      <c r="CP22" s="33">
        <v>0</v>
      </c>
      <c r="CQ22" s="33">
        <v>0</v>
      </c>
      <c r="CR22" s="33">
        <v>0</v>
      </c>
      <c r="CS22" s="33" t="s">
        <v>56</v>
      </c>
      <c r="CT22" s="33">
        <v>0</v>
      </c>
      <c r="CU22" s="33">
        <v>0</v>
      </c>
      <c r="CV22" s="33" t="s">
        <v>56</v>
      </c>
      <c r="CW22" s="33">
        <f>8792352/1000</f>
        <v>8792.3520000000008</v>
      </c>
      <c r="CX22" s="33">
        <v>0</v>
      </c>
      <c r="CY22" s="33">
        <v>0</v>
      </c>
      <c r="CZ22" s="33">
        <f>2035724/1000</f>
        <v>2035.7239999999999</v>
      </c>
      <c r="DA22" s="33">
        <v>0</v>
      </c>
      <c r="DB22" s="33">
        <f t="shared" si="71"/>
        <v>0</v>
      </c>
      <c r="DC22" s="33">
        <f>85308900/1000</f>
        <v>85308.9</v>
      </c>
      <c r="DD22" s="33">
        <v>0</v>
      </c>
      <c r="DE22" s="33">
        <v>0</v>
      </c>
      <c r="DF22" s="33">
        <v>0</v>
      </c>
      <c r="DG22" s="33">
        <v>0</v>
      </c>
      <c r="DH22" s="33" t="s">
        <v>56</v>
      </c>
      <c r="DI22" s="33">
        <f>15330600/1000</f>
        <v>15330.6</v>
      </c>
      <c r="DJ22" s="33">
        <v>0</v>
      </c>
      <c r="DK22" s="33">
        <v>0</v>
      </c>
      <c r="DL22" s="33">
        <v>0</v>
      </c>
      <c r="DM22" s="33">
        <v>0</v>
      </c>
      <c r="DN22" s="33" t="s">
        <v>56</v>
      </c>
      <c r="DO22" s="33">
        <v>0</v>
      </c>
      <c r="DP22" s="33">
        <v>0</v>
      </c>
      <c r="DQ22" s="33" t="s">
        <v>56</v>
      </c>
      <c r="DR22" s="33">
        <f>5089900/1000</f>
        <v>5089.8999999999996</v>
      </c>
      <c r="DS22" s="33">
        <v>0</v>
      </c>
      <c r="DT22" s="33">
        <f t="shared" si="72"/>
        <v>0</v>
      </c>
      <c r="DU22" s="33">
        <v>0</v>
      </c>
      <c r="DV22" s="33">
        <v>0</v>
      </c>
      <c r="DW22" s="33" t="s">
        <v>56</v>
      </c>
      <c r="DX22" s="30">
        <v>0</v>
      </c>
      <c r="DY22" s="31">
        <v>0</v>
      </c>
      <c r="DZ22" s="33" t="s">
        <v>56</v>
      </c>
      <c r="EA22" s="30">
        <v>0</v>
      </c>
      <c r="EB22" s="31">
        <v>0</v>
      </c>
      <c r="EC22" s="33" t="s">
        <v>56</v>
      </c>
      <c r="ED22" s="23">
        <f t="shared" si="55"/>
        <v>297117.79999999993</v>
      </c>
      <c r="EE22" s="23">
        <f t="shared" si="56"/>
        <v>76672.66</v>
      </c>
      <c r="EF22" s="24">
        <f t="shared" si="57"/>
        <v>25.805475134778199</v>
      </c>
      <c r="EG22" s="34">
        <f>2867400/1000</f>
        <v>2867.4</v>
      </c>
      <c r="EH22" s="34">
        <f>705933/1000</f>
        <v>705.93299999999999</v>
      </c>
      <c r="EI22" s="31">
        <f t="shared" si="26"/>
        <v>24.619271814187069</v>
      </c>
      <c r="EJ22" s="34">
        <v>0</v>
      </c>
      <c r="EK22" s="31">
        <v>0</v>
      </c>
      <c r="EL22" s="31" t="s">
        <v>56</v>
      </c>
      <c r="EM22" s="34">
        <v>0</v>
      </c>
      <c r="EN22" s="31">
        <v>0</v>
      </c>
      <c r="EO22" s="31" t="s">
        <v>56</v>
      </c>
      <c r="EP22" s="34">
        <v>88240.5</v>
      </c>
      <c r="EQ22" s="31">
        <v>16854.493999999999</v>
      </c>
      <c r="ER22" s="31">
        <f t="shared" si="58"/>
        <v>19.100632929323837</v>
      </c>
      <c r="ES22" s="31">
        <v>180435.4</v>
      </c>
      <c r="ET22" s="31">
        <v>55390</v>
      </c>
      <c r="EU22" s="36">
        <f t="shared" si="59"/>
        <v>30.697967250328929</v>
      </c>
      <c r="EV22" s="34">
        <f>1786100/1000</f>
        <v>1786.1</v>
      </c>
      <c r="EW22" s="33">
        <v>463.4</v>
      </c>
      <c r="EX22" s="33">
        <f t="shared" si="60"/>
        <v>25.944795924080395</v>
      </c>
      <c r="EY22" s="34">
        <f>2064600/1000</f>
        <v>2064.6</v>
      </c>
      <c r="EZ22" s="31">
        <v>0</v>
      </c>
      <c r="FA22" s="31">
        <f t="shared" si="30"/>
        <v>0</v>
      </c>
      <c r="FB22" s="34">
        <v>0</v>
      </c>
      <c r="FC22" s="31">
        <v>0</v>
      </c>
      <c r="FD22" s="31" t="s">
        <v>56</v>
      </c>
      <c r="FE22" s="34">
        <v>0</v>
      </c>
      <c r="FF22" s="31">
        <v>0</v>
      </c>
      <c r="FG22" s="31" t="s">
        <v>56</v>
      </c>
      <c r="FH22" s="34">
        <v>0</v>
      </c>
      <c r="FI22" s="31">
        <v>0</v>
      </c>
      <c r="FJ22" s="31" t="s">
        <v>56</v>
      </c>
      <c r="FK22" s="34">
        <f>122500/1000</f>
        <v>122.5</v>
      </c>
      <c r="FL22" s="31">
        <v>30.6</v>
      </c>
      <c r="FM22" s="31">
        <f t="shared" si="33"/>
        <v>24.979591836734695</v>
      </c>
      <c r="FN22" s="34">
        <f>3500/1000</f>
        <v>3.5</v>
      </c>
      <c r="FO22" s="31">
        <v>0</v>
      </c>
      <c r="FP22" s="31">
        <f t="shared" si="34"/>
        <v>0</v>
      </c>
      <c r="FQ22" s="34">
        <f>31800/1000</f>
        <v>31.8</v>
      </c>
      <c r="FR22" s="31">
        <v>8.1</v>
      </c>
      <c r="FS22" s="31">
        <f t="shared" si="69"/>
        <v>25.471698113207545</v>
      </c>
      <c r="FT22" s="34">
        <f>5000/1000</f>
        <v>5</v>
      </c>
      <c r="FU22" s="31">
        <v>0</v>
      </c>
      <c r="FV22" s="31">
        <f t="shared" si="73"/>
        <v>0</v>
      </c>
      <c r="FW22" s="34">
        <f>589000/1000</f>
        <v>589</v>
      </c>
      <c r="FX22" s="31">
        <f>121118/1000</f>
        <v>121.11799999999999</v>
      </c>
      <c r="FY22" s="31">
        <f t="shared" si="36"/>
        <v>20.563327674023768</v>
      </c>
      <c r="FZ22" s="34">
        <f>443000/1000</f>
        <v>443</v>
      </c>
      <c r="GA22" s="31">
        <f>115824/1000</f>
        <v>115.824</v>
      </c>
      <c r="GB22" s="31">
        <f t="shared" si="37"/>
        <v>26.145372460496617</v>
      </c>
      <c r="GC22" s="34">
        <v>0</v>
      </c>
      <c r="GD22" s="31">
        <v>0</v>
      </c>
      <c r="GE22" s="31" t="s">
        <v>56</v>
      </c>
      <c r="GF22" s="35">
        <v>0</v>
      </c>
      <c r="GG22" s="31">
        <v>0</v>
      </c>
      <c r="GH22" s="31" t="s">
        <v>56</v>
      </c>
      <c r="GI22" s="35">
        <v>1313.9</v>
      </c>
      <c r="GJ22" s="31">
        <v>237.71490000000003</v>
      </c>
      <c r="GK22" s="31">
        <f t="shared" si="40"/>
        <v>18.092312961412588</v>
      </c>
      <c r="GL22" s="34">
        <v>0</v>
      </c>
      <c r="GM22" s="34">
        <v>0</v>
      </c>
      <c r="GN22" s="31" t="s">
        <v>56</v>
      </c>
      <c r="GO22" s="34">
        <v>0</v>
      </c>
      <c r="GP22" s="31">
        <v>0</v>
      </c>
      <c r="GQ22" s="31" t="s">
        <v>56</v>
      </c>
      <c r="GR22" s="34">
        <f>226500/1000</f>
        <v>226.5</v>
      </c>
      <c r="GS22" s="31">
        <v>38</v>
      </c>
      <c r="GT22" s="31">
        <f t="shared" si="75"/>
        <v>16.777041942604857</v>
      </c>
      <c r="GU22" s="34">
        <f>7125000/1000</f>
        <v>7125</v>
      </c>
      <c r="GV22" s="31">
        <v>0</v>
      </c>
      <c r="GW22" s="31">
        <f t="shared" si="43"/>
        <v>0</v>
      </c>
      <c r="GX22" s="34">
        <f>316100/1000</f>
        <v>316.10000000000002</v>
      </c>
      <c r="GY22" s="31">
        <v>0</v>
      </c>
      <c r="GZ22" s="31">
        <v>0</v>
      </c>
      <c r="HA22" s="31">
        <f>(818300+7153200)/1000</f>
        <v>7971.5</v>
      </c>
      <c r="HB22" s="31">
        <f>1813476.1/1000</f>
        <v>1813.4761000000001</v>
      </c>
      <c r="HC22" s="36">
        <f t="shared" si="61"/>
        <v>22.749496330678042</v>
      </c>
      <c r="HD22" s="34">
        <f>3576000/1000</f>
        <v>3576</v>
      </c>
      <c r="HE22" s="31">
        <v>894</v>
      </c>
      <c r="HF22" s="31">
        <f t="shared" si="62"/>
        <v>25</v>
      </c>
      <c r="HG22" s="28">
        <f t="shared" si="63"/>
        <v>10858.6</v>
      </c>
      <c r="HH22" s="28">
        <f t="shared" si="64"/>
        <v>0</v>
      </c>
      <c r="HI22" s="26">
        <f t="shared" si="46"/>
        <v>0</v>
      </c>
      <c r="HJ22" s="37">
        <v>0</v>
      </c>
      <c r="HK22" s="37">
        <v>0</v>
      </c>
      <c r="HL22" s="37" t="s">
        <v>56</v>
      </c>
      <c r="HM22" s="33">
        <v>0</v>
      </c>
      <c r="HN22" s="33">
        <v>0</v>
      </c>
      <c r="HO22" s="33" t="s">
        <v>56</v>
      </c>
      <c r="HP22" s="33">
        <f>7858600/1000</f>
        <v>7858.6</v>
      </c>
      <c r="HQ22" s="37">
        <v>0</v>
      </c>
      <c r="HR22" s="37">
        <v>0</v>
      </c>
      <c r="HS22" s="37">
        <v>0</v>
      </c>
      <c r="HT22" s="37">
        <v>0</v>
      </c>
      <c r="HU22" s="37" t="s">
        <v>56</v>
      </c>
      <c r="HV22" s="30">
        <f>2970000/1000</f>
        <v>2970</v>
      </c>
      <c r="HW22" s="31">
        <v>0</v>
      </c>
      <c r="HX22" s="31">
        <v>0</v>
      </c>
      <c r="HY22" s="30">
        <v>0</v>
      </c>
      <c r="HZ22" s="31">
        <v>0</v>
      </c>
      <c r="IA22" s="31" t="s">
        <v>56</v>
      </c>
      <c r="IB22" s="31">
        <v>0</v>
      </c>
      <c r="IC22" s="31">
        <v>0</v>
      </c>
      <c r="ID22" s="31" t="s">
        <v>56</v>
      </c>
      <c r="IE22" s="31">
        <f>30000/1000</f>
        <v>30</v>
      </c>
      <c r="IF22" s="31">
        <v>0</v>
      </c>
      <c r="IG22" s="31">
        <v>0</v>
      </c>
      <c r="IH22" s="31">
        <v>0</v>
      </c>
      <c r="II22" s="31">
        <v>0</v>
      </c>
      <c r="IJ22" s="31" t="s">
        <v>56</v>
      </c>
      <c r="IK22" s="31">
        <v>0</v>
      </c>
      <c r="IL22" s="31">
        <v>0</v>
      </c>
      <c r="IM22" s="31" t="s">
        <v>56</v>
      </c>
      <c r="IN22" s="31">
        <v>0</v>
      </c>
      <c r="IO22" s="31">
        <v>0</v>
      </c>
      <c r="IP22" s="31" t="s">
        <v>56</v>
      </c>
      <c r="IQ22" s="31">
        <v>0</v>
      </c>
      <c r="IR22" s="31">
        <v>0</v>
      </c>
      <c r="IS22" s="31" t="s">
        <v>56</v>
      </c>
      <c r="IT22" s="11">
        <f t="shared" si="65"/>
        <v>500745.57099999988</v>
      </c>
      <c r="IU22" s="10">
        <f t="shared" si="66"/>
        <v>79372.66</v>
      </c>
      <c r="IV22" s="10">
        <f t="shared" si="67"/>
        <v>15.850896063142617</v>
      </c>
      <c r="IW22" s="16"/>
      <c r="IX22" s="16"/>
      <c r="IZ22" s="18"/>
    </row>
    <row r="23" spans="1:260" ht="14.25" customHeight="1" x14ac:dyDescent="0.2">
      <c r="A23" s="13" t="s">
        <v>24</v>
      </c>
      <c r="B23" s="23">
        <f t="shared" si="47"/>
        <v>156861</v>
      </c>
      <c r="C23" s="23">
        <f t="shared" si="48"/>
        <v>62355.7</v>
      </c>
      <c r="D23" s="24">
        <f t="shared" si="49"/>
        <v>39.752200993236045</v>
      </c>
      <c r="E23" s="30">
        <v>156861</v>
      </c>
      <c r="F23" s="31">
        <v>62355.7</v>
      </c>
      <c r="G23" s="31">
        <f t="shared" si="50"/>
        <v>39.752200993236045</v>
      </c>
      <c r="H23" s="30">
        <v>0</v>
      </c>
      <c r="I23" s="30">
        <v>0</v>
      </c>
      <c r="J23" s="31" t="s">
        <v>56</v>
      </c>
      <c r="K23" s="31">
        <v>0</v>
      </c>
      <c r="L23" s="31">
        <v>0</v>
      </c>
      <c r="M23" s="31" t="s">
        <v>56</v>
      </c>
      <c r="N23" s="23">
        <f t="shared" si="51"/>
        <v>144970.99320000003</v>
      </c>
      <c r="O23" s="23">
        <f t="shared" si="52"/>
        <v>0</v>
      </c>
      <c r="P23" s="24">
        <f t="shared" si="53"/>
        <v>0</v>
      </c>
      <c r="Q23" s="31">
        <f>32199790/1000</f>
        <v>32199.79</v>
      </c>
      <c r="R23" s="31">
        <v>0</v>
      </c>
      <c r="S23" s="31">
        <f t="shared" si="68"/>
        <v>0</v>
      </c>
      <c r="T23" s="30">
        <v>0</v>
      </c>
      <c r="U23" s="31">
        <v>0</v>
      </c>
      <c r="V23" s="31" t="s">
        <v>56</v>
      </c>
      <c r="W23" s="30">
        <f>7118886.55/1000</f>
        <v>7118.8865500000002</v>
      </c>
      <c r="X23" s="31">
        <v>0</v>
      </c>
      <c r="Y23" s="31">
        <v>0</v>
      </c>
      <c r="Z23" s="30">
        <v>0</v>
      </c>
      <c r="AA23" s="31">
        <v>0</v>
      </c>
      <c r="AB23" s="31" t="s">
        <v>56</v>
      </c>
      <c r="AC23" s="30">
        <v>0</v>
      </c>
      <c r="AD23" s="31">
        <v>0</v>
      </c>
      <c r="AE23" s="31" t="s">
        <v>56</v>
      </c>
      <c r="AF23" s="30">
        <v>0</v>
      </c>
      <c r="AG23" s="31">
        <v>0</v>
      </c>
      <c r="AH23" s="31" t="s">
        <v>56</v>
      </c>
      <c r="AI23" s="30">
        <v>0</v>
      </c>
      <c r="AJ23" s="30">
        <v>0</v>
      </c>
      <c r="AK23" s="31" t="s">
        <v>56</v>
      </c>
      <c r="AL23" s="31">
        <f>4310300/1000</f>
        <v>4310.3</v>
      </c>
      <c r="AM23" s="31">
        <v>0</v>
      </c>
      <c r="AN23" s="31">
        <v>0</v>
      </c>
      <c r="AO23" s="31">
        <v>0</v>
      </c>
      <c r="AP23" s="31">
        <v>0</v>
      </c>
      <c r="AQ23" s="31" t="s">
        <v>56</v>
      </c>
      <c r="AR23" s="31">
        <v>0</v>
      </c>
      <c r="AS23" s="31">
        <v>0</v>
      </c>
      <c r="AT23" s="31" t="s">
        <v>56</v>
      </c>
      <c r="AU23" s="30">
        <f>556724.82/1000</f>
        <v>556.72481999999991</v>
      </c>
      <c r="AV23" s="31">
        <v>0</v>
      </c>
      <c r="AW23" s="31">
        <f>AV23/AU23%</f>
        <v>0</v>
      </c>
      <c r="AX23" s="30">
        <v>0</v>
      </c>
      <c r="AY23" s="31">
        <v>0</v>
      </c>
      <c r="AZ23" s="31" t="s">
        <v>56</v>
      </c>
      <c r="BA23" s="30">
        <v>0</v>
      </c>
      <c r="BB23" s="31">
        <v>0</v>
      </c>
      <c r="BC23" s="31" t="s">
        <v>56</v>
      </c>
      <c r="BD23" s="30">
        <f>123021.83/1000</f>
        <v>123.02183000000001</v>
      </c>
      <c r="BE23" s="31">
        <v>0</v>
      </c>
      <c r="BF23" s="31">
        <v>0</v>
      </c>
      <c r="BG23" s="30">
        <f>100000/1000</f>
        <v>100</v>
      </c>
      <c r="BH23" s="31">
        <v>0</v>
      </c>
      <c r="BI23" s="31">
        <v>0</v>
      </c>
      <c r="BJ23" s="30">
        <v>0</v>
      </c>
      <c r="BK23" s="31">
        <v>0</v>
      </c>
      <c r="BL23" s="31" t="s">
        <v>56</v>
      </c>
      <c r="BM23" s="30">
        <v>0</v>
      </c>
      <c r="BN23" s="31">
        <v>0</v>
      </c>
      <c r="BO23" s="31" t="s">
        <v>56</v>
      </c>
      <c r="BP23" s="30">
        <v>0</v>
      </c>
      <c r="BQ23" s="31">
        <v>0</v>
      </c>
      <c r="BR23" s="31" t="s">
        <v>56</v>
      </c>
      <c r="BS23" s="30">
        <v>0</v>
      </c>
      <c r="BT23" s="31">
        <v>0</v>
      </c>
      <c r="BU23" s="31" t="s">
        <v>56</v>
      </c>
      <c r="BV23" s="31">
        <v>0</v>
      </c>
      <c r="BW23" s="31">
        <v>0</v>
      </c>
      <c r="BX23" s="31" t="s">
        <v>56</v>
      </c>
      <c r="BY23" s="31">
        <v>0</v>
      </c>
      <c r="BZ23" s="31">
        <v>0</v>
      </c>
      <c r="CA23" s="32" t="s">
        <v>56</v>
      </c>
      <c r="CB23" s="30">
        <v>0</v>
      </c>
      <c r="CC23" s="30">
        <v>0</v>
      </c>
      <c r="CD23" s="33" t="s">
        <v>56</v>
      </c>
      <c r="CE23" s="30">
        <v>0</v>
      </c>
      <c r="CF23" s="30">
        <v>0</v>
      </c>
      <c r="CG23" s="33" t="s">
        <v>56</v>
      </c>
      <c r="CH23" s="33">
        <f>54058540/1000</f>
        <v>54058.54</v>
      </c>
      <c r="CI23" s="33">
        <v>0</v>
      </c>
      <c r="CJ23" s="33">
        <v>0</v>
      </c>
      <c r="CK23" s="30">
        <v>0</v>
      </c>
      <c r="CL23" s="30">
        <v>0</v>
      </c>
      <c r="CM23" s="33" t="s">
        <v>56</v>
      </c>
      <c r="CN23" s="30">
        <f>1145670/1000</f>
        <v>1145.67</v>
      </c>
      <c r="CO23" s="33">
        <v>0</v>
      </c>
      <c r="CP23" s="33">
        <v>0</v>
      </c>
      <c r="CQ23" s="33">
        <v>0</v>
      </c>
      <c r="CR23" s="33">
        <v>0</v>
      </c>
      <c r="CS23" s="33" t="s">
        <v>56</v>
      </c>
      <c r="CT23" s="33">
        <v>0</v>
      </c>
      <c r="CU23" s="33">
        <v>0</v>
      </c>
      <c r="CV23" s="33" t="s">
        <v>56</v>
      </c>
      <c r="CW23" s="33">
        <f>4876936/1000</f>
        <v>4876.9359999999997</v>
      </c>
      <c r="CX23" s="33">
        <v>0</v>
      </c>
      <c r="CY23" s="33">
        <v>0</v>
      </c>
      <c r="CZ23" s="33">
        <f>2035724/1000</f>
        <v>2035.7239999999999</v>
      </c>
      <c r="DA23" s="33">
        <v>0</v>
      </c>
      <c r="DB23" s="33">
        <f t="shared" si="71"/>
        <v>0</v>
      </c>
      <c r="DC23" s="33">
        <f>8117600/1000</f>
        <v>8117.6</v>
      </c>
      <c r="DD23" s="33">
        <v>0</v>
      </c>
      <c r="DE23" s="33">
        <v>0</v>
      </c>
      <c r="DF23" s="33">
        <v>0</v>
      </c>
      <c r="DG23" s="33">
        <v>0</v>
      </c>
      <c r="DH23" s="33" t="s">
        <v>56</v>
      </c>
      <c r="DI23" s="33">
        <f>25935300/1000</f>
        <v>25935.3</v>
      </c>
      <c r="DJ23" s="33">
        <v>0</v>
      </c>
      <c r="DK23" s="33">
        <v>0</v>
      </c>
      <c r="DL23" s="33">
        <f>100000/1000</f>
        <v>100</v>
      </c>
      <c r="DM23" s="33">
        <v>0</v>
      </c>
      <c r="DN23" s="33">
        <v>0</v>
      </c>
      <c r="DO23" s="33">
        <v>0</v>
      </c>
      <c r="DP23" s="33">
        <v>0</v>
      </c>
      <c r="DQ23" s="33" t="s">
        <v>56</v>
      </c>
      <c r="DR23" s="33">
        <f>4292500/1000</f>
        <v>4292.5</v>
      </c>
      <c r="DS23" s="33">
        <v>0</v>
      </c>
      <c r="DT23" s="33">
        <f t="shared" si="72"/>
        <v>0</v>
      </c>
      <c r="DU23" s="33">
        <v>0</v>
      </c>
      <c r="DV23" s="33">
        <v>0</v>
      </c>
      <c r="DW23" s="33" t="s">
        <v>56</v>
      </c>
      <c r="DX23" s="30">
        <v>0</v>
      </c>
      <c r="DY23" s="31">
        <v>0</v>
      </c>
      <c r="DZ23" s="33" t="s">
        <v>56</v>
      </c>
      <c r="EA23" s="30">
        <v>0</v>
      </c>
      <c r="EB23" s="31">
        <v>0</v>
      </c>
      <c r="EC23" s="33" t="s">
        <v>56</v>
      </c>
      <c r="ED23" s="23">
        <f t="shared" si="55"/>
        <v>351155.65299999999</v>
      </c>
      <c r="EE23" s="23">
        <f t="shared" si="56"/>
        <v>98385.275360000014</v>
      </c>
      <c r="EF23" s="24">
        <f t="shared" si="57"/>
        <v>28.017568425703239</v>
      </c>
      <c r="EG23" s="34">
        <f>2848900/1000</f>
        <v>2848.9</v>
      </c>
      <c r="EH23" s="34">
        <v>654.20000000000005</v>
      </c>
      <c r="EI23" s="31">
        <f t="shared" si="26"/>
        <v>22.963248973287936</v>
      </c>
      <c r="EJ23" s="34">
        <f>114200/1000</f>
        <v>114.2</v>
      </c>
      <c r="EK23" s="31">
        <v>0</v>
      </c>
      <c r="EL23" s="31">
        <f t="shared" si="79"/>
        <v>0</v>
      </c>
      <c r="EM23" s="34">
        <f>1374/1000</f>
        <v>1.3740000000000001</v>
      </c>
      <c r="EN23" s="31">
        <v>0</v>
      </c>
      <c r="EO23" s="31">
        <f t="shared" si="29"/>
        <v>0</v>
      </c>
      <c r="EP23" s="34">
        <v>85943.1</v>
      </c>
      <c r="EQ23" s="31">
        <v>21027.054</v>
      </c>
      <c r="ER23" s="31">
        <f t="shared" si="58"/>
        <v>24.466250344704811</v>
      </c>
      <c r="ES23" s="31">
        <v>218463.6</v>
      </c>
      <c r="ET23" s="31">
        <v>67927.100000000006</v>
      </c>
      <c r="EU23" s="36">
        <f t="shared" si="59"/>
        <v>31.093097431334098</v>
      </c>
      <c r="EV23" s="34">
        <f>13570200/1000</f>
        <v>13570.2</v>
      </c>
      <c r="EW23" s="33">
        <v>3120.3</v>
      </c>
      <c r="EX23" s="33">
        <f t="shared" si="60"/>
        <v>22.993765751425919</v>
      </c>
      <c r="EY23" s="34">
        <f>4227900/1000</f>
        <v>4227.8999999999996</v>
      </c>
      <c r="EZ23" s="31">
        <v>0</v>
      </c>
      <c r="FA23" s="31">
        <f t="shared" si="30"/>
        <v>0</v>
      </c>
      <c r="FB23" s="34">
        <f>769500/1000</f>
        <v>769.5</v>
      </c>
      <c r="FC23" s="31">
        <v>0</v>
      </c>
      <c r="FD23" s="31">
        <v>0</v>
      </c>
      <c r="FE23" s="34">
        <v>0</v>
      </c>
      <c r="FF23" s="31">
        <v>0</v>
      </c>
      <c r="FG23" s="31" t="s">
        <v>56</v>
      </c>
      <c r="FH23" s="34">
        <f>2015179/1000</f>
        <v>2015.1790000000001</v>
      </c>
      <c r="FI23" s="31">
        <f>437077.36/1000</f>
        <v>437.07736</v>
      </c>
      <c r="FJ23" s="31">
        <f t="shared" si="31"/>
        <v>21.689257381106092</v>
      </c>
      <c r="FK23" s="34">
        <f>262500/1000</f>
        <v>262.5</v>
      </c>
      <c r="FL23" s="31">
        <v>65.7</v>
      </c>
      <c r="FM23" s="31">
        <f t="shared" si="33"/>
        <v>25.028571428571428</v>
      </c>
      <c r="FN23" s="34">
        <f>6300/1000</f>
        <v>6.3</v>
      </c>
      <c r="FO23" s="31">
        <v>0</v>
      </c>
      <c r="FP23" s="31">
        <f t="shared" si="34"/>
        <v>0</v>
      </c>
      <c r="FQ23" s="34">
        <f>127300/1000</f>
        <v>127.3</v>
      </c>
      <c r="FR23" s="31">
        <v>31.8</v>
      </c>
      <c r="FS23" s="31">
        <f t="shared" si="69"/>
        <v>24.980361351139045</v>
      </c>
      <c r="FT23" s="34">
        <v>0</v>
      </c>
      <c r="FU23" s="31">
        <v>0</v>
      </c>
      <c r="FV23" s="31" t="s">
        <v>56</v>
      </c>
      <c r="FW23" s="34">
        <f>638500/1000</f>
        <v>638.5</v>
      </c>
      <c r="FX23" s="31">
        <f>123136/1000</f>
        <v>123.136</v>
      </c>
      <c r="FY23" s="31">
        <f t="shared" si="36"/>
        <v>19.285199686765857</v>
      </c>
      <c r="FZ23" s="34">
        <f>419800/1000</f>
        <v>419.8</v>
      </c>
      <c r="GA23" s="31">
        <v>117</v>
      </c>
      <c r="GB23" s="31">
        <f t="shared" si="37"/>
        <v>27.870414483087181</v>
      </c>
      <c r="GC23" s="34">
        <v>0</v>
      </c>
      <c r="GD23" s="31">
        <v>0</v>
      </c>
      <c r="GE23" s="31" t="s">
        <v>56</v>
      </c>
      <c r="GF23" s="35">
        <v>0</v>
      </c>
      <c r="GG23" s="31">
        <v>0</v>
      </c>
      <c r="GH23" s="31" t="s">
        <v>56</v>
      </c>
      <c r="GI23" s="35">
        <v>1692.7</v>
      </c>
      <c r="GJ23" s="31">
        <v>423.17499999999995</v>
      </c>
      <c r="GK23" s="31">
        <f t="shared" si="40"/>
        <v>24.999999999999996</v>
      </c>
      <c r="GL23" s="34">
        <v>0</v>
      </c>
      <c r="GM23" s="34">
        <v>0</v>
      </c>
      <c r="GN23" s="31" t="s">
        <v>56</v>
      </c>
      <c r="GO23" s="34">
        <f>161100/1000</f>
        <v>161.1</v>
      </c>
      <c r="GP23" s="31">
        <f>40248/1000</f>
        <v>40.247999999999998</v>
      </c>
      <c r="GQ23" s="31">
        <f t="shared" si="76"/>
        <v>24.983240223463685</v>
      </c>
      <c r="GR23" s="34">
        <f>2165600/1000</f>
        <v>2165.6</v>
      </c>
      <c r="GS23" s="31">
        <v>190</v>
      </c>
      <c r="GT23" s="31">
        <f t="shared" si="75"/>
        <v>8.7735500554118957</v>
      </c>
      <c r="GU23" s="34">
        <v>0</v>
      </c>
      <c r="GV23" s="31">
        <v>0</v>
      </c>
      <c r="GW23" s="31" t="s">
        <v>56</v>
      </c>
      <c r="GX23" s="34">
        <f>414200/1000</f>
        <v>414.2</v>
      </c>
      <c r="GY23" s="31">
        <v>0</v>
      </c>
      <c r="GZ23" s="31">
        <v>0</v>
      </c>
      <c r="HA23" s="31">
        <f>(365400+12931300)/1000</f>
        <v>13296.7</v>
      </c>
      <c r="HB23" s="31">
        <f>3224085/1000</f>
        <v>3224.085</v>
      </c>
      <c r="HC23" s="36">
        <f t="shared" si="61"/>
        <v>24.247256838162851</v>
      </c>
      <c r="HD23" s="34">
        <f>4017000/1000</f>
        <v>4017</v>
      </c>
      <c r="HE23" s="31">
        <v>1004.4</v>
      </c>
      <c r="HF23" s="31">
        <f t="shared" si="62"/>
        <v>25.00373412994772</v>
      </c>
      <c r="HG23" s="28">
        <f t="shared" si="63"/>
        <v>8858.5</v>
      </c>
      <c r="HH23" s="28">
        <f t="shared" si="64"/>
        <v>0</v>
      </c>
      <c r="HI23" s="26">
        <f t="shared" si="46"/>
        <v>0</v>
      </c>
      <c r="HJ23" s="37">
        <v>0</v>
      </c>
      <c r="HK23" s="37">
        <v>0</v>
      </c>
      <c r="HL23" s="37" t="s">
        <v>56</v>
      </c>
      <c r="HM23" s="33">
        <v>0</v>
      </c>
      <c r="HN23" s="33">
        <v>0</v>
      </c>
      <c r="HO23" s="33" t="s">
        <v>56</v>
      </c>
      <c r="HP23" s="33">
        <f>8858500/1000</f>
        <v>8858.5</v>
      </c>
      <c r="HQ23" s="37">
        <v>0</v>
      </c>
      <c r="HR23" s="37">
        <v>0</v>
      </c>
      <c r="HS23" s="37">
        <v>0</v>
      </c>
      <c r="HT23" s="37">
        <v>0</v>
      </c>
      <c r="HU23" s="37" t="s">
        <v>56</v>
      </c>
      <c r="HV23" s="30">
        <v>0</v>
      </c>
      <c r="HW23" s="31">
        <v>0</v>
      </c>
      <c r="HX23" s="31" t="s">
        <v>56</v>
      </c>
      <c r="HY23" s="30">
        <v>0</v>
      </c>
      <c r="HZ23" s="31">
        <v>0</v>
      </c>
      <c r="IA23" s="31" t="s">
        <v>56</v>
      </c>
      <c r="IB23" s="31">
        <v>0</v>
      </c>
      <c r="IC23" s="31">
        <v>0</v>
      </c>
      <c r="ID23" s="31" t="s">
        <v>56</v>
      </c>
      <c r="IE23" s="31">
        <v>0</v>
      </c>
      <c r="IF23" s="31">
        <v>0</v>
      </c>
      <c r="IG23" s="31" t="s">
        <v>56</v>
      </c>
      <c r="IH23" s="31">
        <v>0</v>
      </c>
      <c r="II23" s="31">
        <v>0</v>
      </c>
      <c r="IJ23" s="31" t="s">
        <v>56</v>
      </c>
      <c r="IK23" s="31">
        <v>0</v>
      </c>
      <c r="IL23" s="31">
        <v>0</v>
      </c>
      <c r="IM23" s="31" t="s">
        <v>56</v>
      </c>
      <c r="IN23" s="31">
        <v>0</v>
      </c>
      <c r="IO23" s="31">
        <v>0</v>
      </c>
      <c r="IP23" s="31" t="s">
        <v>56</v>
      </c>
      <c r="IQ23" s="31">
        <v>0</v>
      </c>
      <c r="IR23" s="31">
        <v>0</v>
      </c>
      <c r="IS23" s="31" t="s">
        <v>56</v>
      </c>
      <c r="IT23" s="11">
        <f t="shared" si="65"/>
        <v>661846.14620000008</v>
      </c>
      <c r="IU23" s="10">
        <f t="shared" si="66"/>
        <v>160740.97536000001</v>
      </c>
      <c r="IV23" s="10">
        <f t="shared" si="67"/>
        <v>24.286758528835868</v>
      </c>
      <c r="IW23" s="16"/>
      <c r="IX23" s="16"/>
      <c r="IZ23" s="18"/>
    </row>
    <row r="24" spans="1:260" ht="15" customHeight="1" x14ac:dyDescent="0.2">
      <c r="A24" s="13" t="s">
        <v>25</v>
      </c>
      <c r="B24" s="23">
        <f t="shared" si="47"/>
        <v>50921</v>
      </c>
      <c r="C24" s="23">
        <f t="shared" si="48"/>
        <v>37645.1</v>
      </c>
      <c r="D24" s="24">
        <f t="shared" si="49"/>
        <v>73.928438168928338</v>
      </c>
      <c r="E24" s="30">
        <v>50921</v>
      </c>
      <c r="F24" s="31">
        <v>37645.1</v>
      </c>
      <c r="G24" s="31">
        <f t="shared" si="50"/>
        <v>73.928438168928338</v>
      </c>
      <c r="H24" s="30">
        <v>0</v>
      </c>
      <c r="I24" s="30">
        <v>0</v>
      </c>
      <c r="J24" s="31" t="s">
        <v>56</v>
      </c>
      <c r="K24" s="31">
        <v>0</v>
      </c>
      <c r="L24" s="31">
        <v>0</v>
      </c>
      <c r="M24" s="31" t="s">
        <v>56</v>
      </c>
      <c r="N24" s="23">
        <f t="shared" si="51"/>
        <v>75275.465920000002</v>
      </c>
      <c r="O24" s="23">
        <f t="shared" si="52"/>
        <v>0</v>
      </c>
      <c r="P24" s="24">
        <f t="shared" si="53"/>
        <v>0</v>
      </c>
      <c r="Q24" s="31">
        <f>10158600/1000</f>
        <v>10158.6</v>
      </c>
      <c r="R24" s="31">
        <v>0</v>
      </c>
      <c r="S24" s="31">
        <f t="shared" si="68"/>
        <v>0</v>
      </c>
      <c r="T24" s="30">
        <v>0</v>
      </c>
      <c r="U24" s="31">
        <v>0</v>
      </c>
      <c r="V24" s="31" t="s">
        <v>56</v>
      </c>
      <c r="W24" s="30">
        <f>9911602.3/1000</f>
        <v>9911.6023000000005</v>
      </c>
      <c r="X24" s="31">
        <v>0</v>
      </c>
      <c r="Y24" s="31">
        <v>0</v>
      </c>
      <c r="Z24" s="30">
        <v>0</v>
      </c>
      <c r="AA24" s="31">
        <v>0</v>
      </c>
      <c r="AB24" s="31" t="s">
        <v>56</v>
      </c>
      <c r="AC24" s="30">
        <v>0</v>
      </c>
      <c r="AD24" s="31">
        <v>0</v>
      </c>
      <c r="AE24" s="31" t="s">
        <v>56</v>
      </c>
      <c r="AF24" s="30">
        <v>0</v>
      </c>
      <c r="AG24" s="31">
        <v>0</v>
      </c>
      <c r="AH24" s="31" t="s">
        <v>56</v>
      </c>
      <c r="AI24" s="30">
        <v>0</v>
      </c>
      <c r="AJ24" s="30">
        <v>0</v>
      </c>
      <c r="AK24" s="31" t="s">
        <v>56</v>
      </c>
      <c r="AL24" s="31">
        <f>902900/1000</f>
        <v>902.9</v>
      </c>
      <c r="AM24" s="31">
        <v>0</v>
      </c>
      <c r="AN24" s="31">
        <v>0</v>
      </c>
      <c r="AO24" s="31">
        <v>0</v>
      </c>
      <c r="AP24" s="31">
        <v>0</v>
      </c>
      <c r="AQ24" s="31" t="s">
        <v>56</v>
      </c>
      <c r="AR24" s="31">
        <v>0</v>
      </c>
      <c r="AS24" s="31">
        <v>0</v>
      </c>
      <c r="AT24" s="31" t="s">
        <v>56</v>
      </c>
      <c r="AU24" s="30">
        <v>0</v>
      </c>
      <c r="AV24" s="31">
        <v>0</v>
      </c>
      <c r="AW24" s="31" t="s">
        <v>56</v>
      </c>
      <c r="AX24" s="30">
        <v>0</v>
      </c>
      <c r="AY24" s="31">
        <v>0</v>
      </c>
      <c r="AZ24" s="31" t="s">
        <v>56</v>
      </c>
      <c r="BA24" s="30">
        <v>0</v>
      </c>
      <c r="BB24" s="31">
        <v>0</v>
      </c>
      <c r="BC24" s="31" t="s">
        <v>56</v>
      </c>
      <c r="BD24" s="30">
        <f>78286.62/1000</f>
        <v>78.286619999999999</v>
      </c>
      <c r="BE24" s="31">
        <v>0</v>
      </c>
      <c r="BF24" s="31">
        <v>0</v>
      </c>
      <c r="BG24" s="30">
        <f>100000/1000</f>
        <v>100</v>
      </c>
      <c r="BH24" s="31">
        <v>0</v>
      </c>
      <c r="BI24" s="31">
        <v>0</v>
      </c>
      <c r="BJ24" s="30">
        <v>0</v>
      </c>
      <c r="BK24" s="31">
        <v>0</v>
      </c>
      <c r="BL24" s="31" t="s">
        <v>56</v>
      </c>
      <c r="BM24" s="30">
        <v>0</v>
      </c>
      <c r="BN24" s="31">
        <v>0</v>
      </c>
      <c r="BO24" s="31" t="s">
        <v>56</v>
      </c>
      <c r="BP24" s="30">
        <v>0</v>
      </c>
      <c r="BQ24" s="31">
        <v>0</v>
      </c>
      <c r="BR24" s="31" t="s">
        <v>56</v>
      </c>
      <c r="BS24" s="30">
        <v>0</v>
      </c>
      <c r="BT24" s="31">
        <v>0</v>
      </c>
      <c r="BU24" s="31" t="s">
        <v>56</v>
      </c>
      <c r="BV24" s="31">
        <v>0</v>
      </c>
      <c r="BW24" s="31">
        <v>0</v>
      </c>
      <c r="BX24" s="31" t="s">
        <v>56</v>
      </c>
      <c r="BY24" s="31">
        <v>0</v>
      </c>
      <c r="BZ24" s="31">
        <v>0</v>
      </c>
      <c r="CA24" s="32" t="s">
        <v>56</v>
      </c>
      <c r="CB24" s="30">
        <v>0</v>
      </c>
      <c r="CC24" s="30">
        <v>0</v>
      </c>
      <c r="CD24" s="33" t="s">
        <v>56</v>
      </c>
      <c r="CE24" s="30">
        <v>0</v>
      </c>
      <c r="CF24" s="30">
        <v>0</v>
      </c>
      <c r="CG24" s="33" t="s">
        <v>56</v>
      </c>
      <c r="CH24" s="33">
        <v>0</v>
      </c>
      <c r="CI24" s="33">
        <v>0</v>
      </c>
      <c r="CJ24" s="33" t="s">
        <v>56</v>
      </c>
      <c r="CK24" s="30">
        <v>0</v>
      </c>
      <c r="CL24" s="30">
        <v>0</v>
      </c>
      <c r="CM24" s="33" t="s">
        <v>56</v>
      </c>
      <c r="CN24" s="30">
        <f>5158530/1000</f>
        <v>5158.53</v>
      </c>
      <c r="CO24" s="33">
        <v>0</v>
      </c>
      <c r="CP24" s="33">
        <v>0</v>
      </c>
      <c r="CQ24" s="33">
        <v>0</v>
      </c>
      <c r="CR24" s="33">
        <v>0</v>
      </c>
      <c r="CS24" s="33" t="s">
        <v>56</v>
      </c>
      <c r="CT24" s="33">
        <f>468500/1000</f>
        <v>468.5</v>
      </c>
      <c r="CU24" s="33">
        <v>0</v>
      </c>
      <c r="CV24" s="33">
        <v>0</v>
      </c>
      <c r="CW24" s="33">
        <v>0</v>
      </c>
      <c r="CX24" s="33">
        <v>0</v>
      </c>
      <c r="CY24" s="33" t="s">
        <v>56</v>
      </c>
      <c r="CZ24" s="33">
        <f>2035724/1000</f>
        <v>2035.7239999999999</v>
      </c>
      <c r="DA24" s="33">
        <v>0</v>
      </c>
      <c r="DB24" s="33">
        <f t="shared" si="71"/>
        <v>0</v>
      </c>
      <c r="DC24" s="33">
        <f>24750000/1000</f>
        <v>24750</v>
      </c>
      <c r="DD24" s="33">
        <v>0</v>
      </c>
      <c r="DE24" s="33">
        <v>0</v>
      </c>
      <c r="DF24" s="33">
        <v>0</v>
      </c>
      <c r="DG24" s="33">
        <v>0</v>
      </c>
      <c r="DH24" s="33" t="s">
        <v>56</v>
      </c>
      <c r="DI24" s="33">
        <f>18834900/1000</f>
        <v>18834.900000000001</v>
      </c>
      <c r="DJ24" s="33">
        <v>0</v>
      </c>
      <c r="DK24" s="33">
        <v>0</v>
      </c>
      <c r="DL24" s="33">
        <v>0</v>
      </c>
      <c r="DM24" s="33">
        <v>0</v>
      </c>
      <c r="DN24" s="33" t="s">
        <v>56</v>
      </c>
      <c r="DO24" s="33">
        <v>0</v>
      </c>
      <c r="DP24" s="33">
        <v>0</v>
      </c>
      <c r="DQ24" s="33" t="s">
        <v>56</v>
      </c>
      <c r="DR24" s="33">
        <v>0</v>
      </c>
      <c r="DS24" s="33">
        <v>0</v>
      </c>
      <c r="DT24" s="33" t="s">
        <v>56</v>
      </c>
      <c r="DU24" s="33">
        <v>0</v>
      </c>
      <c r="DV24" s="33">
        <v>0</v>
      </c>
      <c r="DW24" s="33" t="s">
        <v>56</v>
      </c>
      <c r="DX24" s="30">
        <v>0</v>
      </c>
      <c r="DY24" s="31">
        <v>0</v>
      </c>
      <c r="DZ24" s="33" t="s">
        <v>56</v>
      </c>
      <c r="EA24" s="30">
        <f>2876423/1000</f>
        <v>2876.4229999999998</v>
      </c>
      <c r="EB24" s="31">
        <v>0</v>
      </c>
      <c r="EC24" s="33">
        <f>EB24/EA24%</f>
        <v>0</v>
      </c>
      <c r="ED24" s="23">
        <f t="shared" si="55"/>
        <v>180729.09999999998</v>
      </c>
      <c r="EE24" s="23">
        <f t="shared" si="56"/>
        <v>55114.129559999994</v>
      </c>
      <c r="EF24" s="24">
        <f t="shared" si="57"/>
        <v>30.495437403273741</v>
      </c>
      <c r="EG24" s="34">
        <f>1057100/1000</f>
        <v>1057.0999999999999</v>
      </c>
      <c r="EH24" s="34">
        <f>169139.5/1000</f>
        <v>169.1395</v>
      </c>
      <c r="EI24" s="31">
        <f t="shared" si="26"/>
        <v>16.000331094503832</v>
      </c>
      <c r="EJ24" s="34">
        <v>0</v>
      </c>
      <c r="EK24" s="31">
        <v>0</v>
      </c>
      <c r="EL24" s="31" t="s">
        <v>56</v>
      </c>
      <c r="EM24" s="34">
        <f>64/1000</f>
        <v>6.4000000000000001E-2</v>
      </c>
      <c r="EN24" s="31">
        <v>0</v>
      </c>
      <c r="EO24" s="31">
        <f t="shared" si="29"/>
        <v>0</v>
      </c>
      <c r="EP24" s="34">
        <v>35206.300000000003</v>
      </c>
      <c r="EQ24" s="31">
        <v>10015.962</v>
      </c>
      <c r="ER24" s="31">
        <f t="shared" si="58"/>
        <v>28.449345713693283</v>
      </c>
      <c r="ES24" s="31">
        <v>125373.8</v>
      </c>
      <c r="ET24" s="31">
        <v>40567.5</v>
      </c>
      <c r="EU24" s="36">
        <f t="shared" si="59"/>
        <v>32.3572389127553</v>
      </c>
      <c r="EV24" s="34">
        <f>5084100/1000</f>
        <v>5084.1000000000004</v>
      </c>
      <c r="EW24" s="33">
        <v>1676.7</v>
      </c>
      <c r="EX24" s="33">
        <f t="shared" si="60"/>
        <v>32.979288369622942</v>
      </c>
      <c r="EY24" s="34">
        <f>1094800/1000</f>
        <v>1094.8</v>
      </c>
      <c r="EZ24" s="31">
        <v>0</v>
      </c>
      <c r="FA24" s="31">
        <f t="shared" si="30"/>
        <v>0</v>
      </c>
      <c r="FB24" s="34">
        <v>0</v>
      </c>
      <c r="FC24" s="31">
        <v>0</v>
      </c>
      <c r="FD24" s="31" t="s">
        <v>56</v>
      </c>
      <c r="FE24" s="34">
        <v>0</v>
      </c>
      <c r="FF24" s="31">
        <v>0</v>
      </c>
      <c r="FG24" s="31" t="s">
        <v>56</v>
      </c>
      <c r="FH24" s="34">
        <f>273036/1000</f>
        <v>273.036</v>
      </c>
      <c r="FI24" s="31">
        <f>4018/1000</f>
        <v>4.0179999999999998</v>
      </c>
      <c r="FJ24" s="31">
        <f t="shared" si="31"/>
        <v>1.471600814544602</v>
      </c>
      <c r="FK24" s="34">
        <f>245000/1000</f>
        <v>245</v>
      </c>
      <c r="FL24" s="31">
        <v>61.2</v>
      </c>
      <c r="FM24" s="31">
        <f t="shared" si="33"/>
        <v>24.979591836734695</v>
      </c>
      <c r="FN24" s="34">
        <f>800/1000</f>
        <v>0.8</v>
      </c>
      <c r="FO24" s="31">
        <v>0</v>
      </c>
      <c r="FP24" s="31">
        <f t="shared" si="34"/>
        <v>0</v>
      </c>
      <c r="FQ24" s="34">
        <f>63600/1000</f>
        <v>63.6</v>
      </c>
      <c r="FR24" s="31">
        <v>15.9</v>
      </c>
      <c r="FS24" s="31">
        <f t="shared" si="69"/>
        <v>25</v>
      </c>
      <c r="FT24" s="34">
        <v>0</v>
      </c>
      <c r="FU24" s="31">
        <v>0</v>
      </c>
      <c r="FV24" s="31" t="s">
        <v>56</v>
      </c>
      <c r="FW24" s="34">
        <f>543900/1000</f>
        <v>543.9</v>
      </c>
      <c r="FX24" s="31">
        <f>82634/1000</f>
        <v>82.634</v>
      </c>
      <c r="FY24" s="31">
        <f t="shared" si="36"/>
        <v>15.192866335723478</v>
      </c>
      <c r="FZ24" s="34">
        <f>198400/1000</f>
        <v>198.4</v>
      </c>
      <c r="GA24" s="31">
        <f>39417/1000</f>
        <v>39.417000000000002</v>
      </c>
      <c r="GB24" s="31">
        <f t="shared" si="37"/>
        <v>19.867439516129032</v>
      </c>
      <c r="GC24" s="34">
        <v>0</v>
      </c>
      <c r="GD24" s="31">
        <v>0</v>
      </c>
      <c r="GE24" s="31" t="s">
        <v>56</v>
      </c>
      <c r="GF24" s="35">
        <v>0</v>
      </c>
      <c r="GG24" s="31">
        <v>0</v>
      </c>
      <c r="GH24" s="31" t="s">
        <v>56</v>
      </c>
      <c r="GI24" s="35">
        <v>1914.1</v>
      </c>
      <c r="GJ24" s="31">
        <v>329.83006</v>
      </c>
      <c r="GK24" s="31">
        <f t="shared" si="40"/>
        <v>17.231600229873049</v>
      </c>
      <c r="GL24" s="34">
        <v>0</v>
      </c>
      <c r="GM24" s="34">
        <v>0</v>
      </c>
      <c r="GN24" s="31" t="s">
        <v>56</v>
      </c>
      <c r="GO24" s="34">
        <v>0</v>
      </c>
      <c r="GP24" s="31">
        <v>0</v>
      </c>
      <c r="GQ24" s="31" t="s">
        <v>56</v>
      </c>
      <c r="GR24" s="34">
        <f>661100/1000</f>
        <v>661.1</v>
      </c>
      <c r="GS24" s="31">
        <v>62.5</v>
      </c>
      <c r="GT24" s="31">
        <f t="shared" si="75"/>
        <v>9.4539404023597022</v>
      </c>
      <c r="GU24" s="34">
        <v>0</v>
      </c>
      <c r="GV24" s="31">
        <v>0</v>
      </c>
      <c r="GW24" s="31" t="s">
        <v>56</v>
      </c>
      <c r="GX24" s="34">
        <f>176000/1000</f>
        <v>176</v>
      </c>
      <c r="GY24" s="31">
        <v>0</v>
      </c>
      <c r="GZ24" s="31">
        <v>0</v>
      </c>
      <c r="HA24" s="31">
        <f>(226000+7262000)/1000</f>
        <v>7488</v>
      </c>
      <c r="HB24" s="31">
        <f>1864529/1000</f>
        <v>1864.529</v>
      </c>
      <c r="HC24" s="36">
        <f t="shared" si="61"/>
        <v>24.900227029914529</v>
      </c>
      <c r="HD24" s="34">
        <f>1349000/1000</f>
        <v>1349</v>
      </c>
      <c r="HE24" s="31">
        <v>224.8</v>
      </c>
      <c r="HF24" s="31">
        <f t="shared" si="62"/>
        <v>16.664195700518906</v>
      </c>
      <c r="HG24" s="28">
        <f t="shared" si="63"/>
        <v>3299.9</v>
      </c>
      <c r="HH24" s="28">
        <f t="shared" si="64"/>
        <v>0</v>
      </c>
      <c r="HI24" s="26">
        <f t="shared" si="46"/>
        <v>0</v>
      </c>
      <c r="HJ24" s="37">
        <v>0</v>
      </c>
      <c r="HK24" s="37">
        <v>0</v>
      </c>
      <c r="HL24" s="37" t="s">
        <v>56</v>
      </c>
      <c r="HM24" s="33">
        <v>0</v>
      </c>
      <c r="HN24" s="33">
        <v>0</v>
      </c>
      <c r="HO24" s="33" t="s">
        <v>56</v>
      </c>
      <c r="HP24" s="33">
        <f>2999900/1000</f>
        <v>2999.9</v>
      </c>
      <c r="HQ24" s="37">
        <v>0</v>
      </c>
      <c r="HR24" s="37">
        <v>0</v>
      </c>
      <c r="HS24" s="37">
        <v>0</v>
      </c>
      <c r="HT24" s="37">
        <v>0</v>
      </c>
      <c r="HU24" s="37" t="s">
        <v>56</v>
      </c>
      <c r="HV24" s="30">
        <v>0</v>
      </c>
      <c r="HW24" s="31">
        <v>0</v>
      </c>
      <c r="HX24" s="31" t="s">
        <v>56</v>
      </c>
      <c r="HY24" s="30">
        <f>297000/1000</f>
        <v>297</v>
      </c>
      <c r="HZ24" s="31">
        <v>0</v>
      </c>
      <c r="IA24" s="31">
        <v>0</v>
      </c>
      <c r="IB24" s="31">
        <v>0</v>
      </c>
      <c r="IC24" s="31">
        <v>0</v>
      </c>
      <c r="ID24" s="31" t="s">
        <v>56</v>
      </c>
      <c r="IE24" s="31">
        <v>0</v>
      </c>
      <c r="IF24" s="31">
        <v>0</v>
      </c>
      <c r="IG24" s="31" t="s">
        <v>56</v>
      </c>
      <c r="IH24" s="31">
        <f>3000/1000</f>
        <v>3</v>
      </c>
      <c r="II24" s="31">
        <v>0</v>
      </c>
      <c r="IJ24" s="31">
        <v>0</v>
      </c>
      <c r="IK24" s="31">
        <v>0</v>
      </c>
      <c r="IL24" s="31">
        <v>0</v>
      </c>
      <c r="IM24" s="31" t="s">
        <v>56</v>
      </c>
      <c r="IN24" s="31">
        <v>0</v>
      </c>
      <c r="IO24" s="31">
        <v>0</v>
      </c>
      <c r="IP24" s="31" t="s">
        <v>56</v>
      </c>
      <c r="IQ24" s="31">
        <v>0</v>
      </c>
      <c r="IR24" s="31">
        <v>0</v>
      </c>
      <c r="IS24" s="31" t="s">
        <v>56</v>
      </c>
      <c r="IT24" s="11">
        <f t="shared" si="65"/>
        <v>310225.46591999999</v>
      </c>
      <c r="IU24" s="10">
        <f t="shared" si="66"/>
        <v>92759.229559999992</v>
      </c>
      <c r="IV24" s="10">
        <f t="shared" si="67"/>
        <v>29.900585138913279</v>
      </c>
      <c r="IW24" s="16"/>
      <c r="IX24" s="16"/>
      <c r="IZ24" s="18"/>
    </row>
    <row r="25" spans="1:260" x14ac:dyDescent="0.2">
      <c r="A25" s="13" t="s">
        <v>26</v>
      </c>
      <c r="B25" s="23">
        <f t="shared" si="47"/>
        <v>149823</v>
      </c>
      <c r="C25" s="23">
        <f t="shared" si="48"/>
        <v>69107.600000000006</v>
      </c>
      <c r="D25" s="24">
        <f t="shared" si="49"/>
        <v>46.126162204734925</v>
      </c>
      <c r="E25" s="30">
        <v>149823</v>
      </c>
      <c r="F25" s="31">
        <v>69107.600000000006</v>
      </c>
      <c r="G25" s="31">
        <f t="shared" si="50"/>
        <v>46.126162204734925</v>
      </c>
      <c r="H25" s="30">
        <v>0</v>
      </c>
      <c r="I25" s="30">
        <v>0</v>
      </c>
      <c r="J25" s="31" t="s">
        <v>56</v>
      </c>
      <c r="K25" s="31">
        <v>0</v>
      </c>
      <c r="L25" s="31">
        <v>0</v>
      </c>
      <c r="M25" s="31" t="s">
        <v>56</v>
      </c>
      <c r="N25" s="23">
        <f t="shared" si="51"/>
        <v>84515.698539999998</v>
      </c>
      <c r="O25" s="23">
        <f t="shared" si="52"/>
        <v>288.39999999999998</v>
      </c>
      <c r="P25" s="24">
        <f t="shared" si="53"/>
        <v>0.34123837935682994</v>
      </c>
      <c r="Q25" s="31">
        <f>16253760/1000</f>
        <v>16253.76</v>
      </c>
      <c r="R25" s="31">
        <v>0</v>
      </c>
      <c r="S25" s="31">
        <f t="shared" si="68"/>
        <v>0</v>
      </c>
      <c r="T25" s="30">
        <v>0</v>
      </c>
      <c r="U25" s="31">
        <v>0</v>
      </c>
      <c r="V25" s="31" t="s">
        <v>56</v>
      </c>
      <c r="W25" s="30">
        <f>8292790.39/1000</f>
        <v>8292.7903900000001</v>
      </c>
      <c r="X25" s="31">
        <v>0</v>
      </c>
      <c r="Y25" s="31">
        <v>0</v>
      </c>
      <c r="Z25" s="30">
        <v>0</v>
      </c>
      <c r="AA25" s="31">
        <v>0</v>
      </c>
      <c r="AB25" s="31" t="s">
        <v>56</v>
      </c>
      <c r="AC25" s="30">
        <v>0</v>
      </c>
      <c r="AD25" s="31">
        <v>0</v>
      </c>
      <c r="AE25" s="31" t="s">
        <v>56</v>
      </c>
      <c r="AF25" s="30">
        <v>0</v>
      </c>
      <c r="AG25" s="31">
        <v>0</v>
      </c>
      <c r="AH25" s="31" t="s">
        <v>56</v>
      </c>
      <c r="AI25" s="30">
        <v>0</v>
      </c>
      <c r="AJ25" s="30">
        <v>0</v>
      </c>
      <c r="AK25" s="31" t="s">
        <v>56</v>
      </c>
      <c r="AL25" s="31">
        <f>3175300/1000</f>
        <v>3175.3</v>
      </c>
      <c r="AM25" s="31">
        <v>0</v>
      </c>
      <c r="AN25" s="31">
        <v>0</v>
      </c>
      <c r="AO25" s="31">
        <v>0</v>
      </c>
      <c r="AP25" s="31">
        <v>0</v>
      </c>
      <c r="AQ25" s="31" t="s">
        <v>56</v>
      </c>
      <c r="AR25" s="31">
        <v>0</v>
      </c>
      <c r="AS25" s="31">
        <v>0</v>
      </c>
      <c r="AT25" s="31" t="s">
        <v>56</v>
      </c>
      <c r="AU25" s="30">
        <f>222689.97/1000</f>
        <v>222.68996999999999</v>
      </c>
      <c r="AV25" s="31">
        <v>0</v>
      </c>
      <c r="AW25" s="31">
        <v>0</v>
      </c>
      <c r="AX25" s="30">
        <v>0</v>
      </c>
      <c r="AY25" s="31">
        <v>0</v>
      </c>
      <c r="AZ25" s="31" t="s">
        <v>56</v>
      </c>
      <c r="BA25" s="30">
        <v>0</v>
      </c>
      <c r="BB25" s="31">
        <v>0</v>
      </c>
      <c r="BC25" s="31" t="s">
        <v>56</v>
      </c>
      <c r="BD25" s="30">
        <f>67102.82/1000</f>
        <v>67.102820000000008</v>
      </c>
      <c r="BE25" s="31">
        <v>0</v>
      </c>
      <c r="BF25" s="31">
        <v>0</v>
      </c>
      <c r="BG25" s="30">
        <v>0</v>
      </c>
      <c r="BH25" s="31">
        <v>0</v>
      </c>
      <c r="BI25" s="31" t="s">
        <v>56</v>
      </c>
      <c r="BJ25" s="30">
        <v>0</v>
      </c>
      <c r="BK25" s="31">
        <v>0</v>
      </c>
      <c r="BL25" s="31" t="s">
        <v>56</v>
      </c>
      <c r="BM25" s="30">
        <v>0</v>
      </c>
      <c r="BN25" s="31">
        <v>0</v>
      </c>
      <c r="BO25" s="31" t="s">
        <v>56</v>
      </c>
      <c r="BP25" s="30">
        <v>0</v>
      </c>
      <c r="BQ25" s="31">
        <v>0</v>
      </c>
      <c r="BR25" s="31" t="s">
        <v>56</v>
      </c>
      <c r="BS25" s="30">
        <v>0</v>
      </c>
      <c r="BT25" s="31">
        <v>0</v>
      </c>
      <c r="BU25" s="31" t="s">
        <v>56</v>
      </c>
      <c r="BV25" s="31">
        <v>0</v>
      </c>
      <c r="BW25" s="31">
        <v>0</v>
      </c>
      <c r="BX25" s="31" t="s">
        <v>56</v>
      </c>
      <c r="BY25" s="31">
        <v>2323.4</v>
      </c>
      <c r="BZ25" s="31">
        <v>288.39999999999998</v>
      </c>
      <c r="CA25" s="32">
        <f t="shared" si="54"/>
        <v>12.412843246965652</v>
      </c>
      <c r="CB25" s="30">
        <v>0</v>
      </c>
      <c r="CC25" s="30">
        <v>0</v>
      </c>
      <c r="CD25" s="33" t="s">
        <v>56</v>
      </c>
      <c r="CE25" s="30">
        <v>0</v>
      </c>
      <c r="CF25" s="30">
        <v>0</v>
      </c>
      <c r="CG25" s="33" t="s">
        <v>56</v>
      </c>
      <c r="CH25" s="33">
        <v>0</v>
      </c>
      <c r="CI25" s="33">
        <v>0</v>
      </c>
      <c r="CJ25" s="33" t="s">
        <v>56</v>
      </c>
      <c r="CK25" s="30">
        <v>0</v>
      </c>
      <c r="CL25" s="30">
        <v>0</v>
      </c>
      <c r="CM25" s="33" t="s">
        <v>56</v>
      </c>
      <c r="CN25" s="30">
        <f>5000705.36/1000</f>
        <v>5000.7053599999999</v>
      </c>
      <c r="CO25" s="33">
        <v>0</v>
      </c>
      <c r="CP25" s="33">
        <v>0</v>
      </c>
      <c r="CQ25" s="33">
        <v>0</v>
      </c>
      <c r="CR25" s="33">
        <v>0</v>
      </c>
      <c r="CS25" s="33" t="s">
        <v>56</v>
      </c>
      <c r="CT25" s="33">
        <f>72700/1000</f>
        <v>72.7</v>
      </c>
      <c r="CU25" s="33">
        <v>0</v>
      </c>
      <c r="CV25" s="33">
        <v>0</v>
      </c>
      <c r="CW25" s="33">
        <f>18950525/1000</f>
        <v>18950.525000000001</v>
      </c>
      <c r="CX25" s="33">
        <v>0</v>
      </c>
      <c r="CY25" s="33">
        <v>0</v>
      </c>
      <c r="CZ25" s="33">
        <f>2035725/1000</f>
        <v>2035.7249999999999</v>
      </c>
      <c r="DA25" s="33">
        <v>0</v>
      </c>
      <c r="DB25" s="33">
        <f t="shared" si="71"/>
        <v>0</v>
      </c>
      <c r="DC25" s="33">
        <v>0</v>
      </c>
      <c r="DD25" s="33">
        <v>0</v>
      </c>
      <c r="DE25" s="33" t="s">
        <v>56</v>
      </c>
      <c r="DF25" s="33">
        <v>0</v>
      </c>
      <c r="DG25" s="33">
        <v>0</v>
      </c>
      <c r="DH25" s="33" t="s">
        <v>56</v>
      </c>
      <c r="DI25" s="33">
        <f>13376000/1000</f>
        <v>13376</v>
      </c>
      <c r="DJ25" s="33">
        <v>0</v>
      </c>
      <c r="DK25" s="33">
        <v>0</v>
      </c>
      <c r="DL25" s="33">
        <v>0</v>
      </c>
      <c r="DM25" s="33">
        <v>0</v>
      </c>
      <c r="DN25" s="33" t="s">
        <v>56</v>
      </c>
      <c r="DO25" s="33">
        <v>0</v>
      </c>
      <c r="DP25" s="33">
        <v>0</v>
      </c>
      <c r="DQ25" s="33" t="s">
        <v>56</v>
      </c>
      <c r="DR25" s="33">
        <f>4745000/1000</f>
        <v>4745</v>
      </c>
      <c r="DS25" s="33">
        <v>0</v>
      </c>
      <c r="DT25" s="33">
        <f t="shared" si="72"/>
        <v>0</v>
      </c>
      <c r="DU25" s="33">
        <v>0</v>
      </c>
      <c r="DV25" s="33">
        <v>0</v>
      </c>
      <c r="DW25" s="33" t="s">
        <v>56</v>
      </c>
      <c r="DX25" s="30">
        <v>10000</v>
      </c>
      <c r="DY25" s="31">
        <v>0</v>
      </c>
      <c r="DZ25" s="33">
        <v>0</v>
      </c>
      <c r="EA25" s="30">
        <v>0</v>
      </c>
      <c r="EB25" s="31">
        <v>0</v>
      </c>
      <c r="EC25" s="33" t="s">
        <v>56</v>
      </c>
      <c r="ED25" s="23">
        <f t="shared" si="55"/>
        <v>415601.59999999992</v>
      </c>
      <c r="EE25" s="23">
        <f t="shared" si="56"/>
        <v>107112.60472999996</v>
      </c>
      <c r="EF25" s="24">
        <f t="shared" si="57"/>
        <v>25.772904803542616</v>
      </c>
      <c r="EG25" s="34">
        <f>3222700/1000</f>
        <v>3222.7</v>
      </c>
      <c r="EH25" s="34">
        <v>681.6</v>
      </c>
      <c r="EI25" s="31">
        <f t="shared" si="26"/>
        <v>21.149967418624136</v>
      </c>
      <c r="EJ25" s="34">
        <v>0</v>
      </c>
      <c r="EK25" s="31">
        <v>0</v>
      </c>
      <c r="EL25" s="31" t="s">
        <v>56</v>
      </c>
      <c r="EM25" s="34">
        <v>0</v>
      </c>
      <c r="EN25" s="31">
        <v>0</v>
      </c>
      <c r="EO25" s="31" t="s">
        <v>56</v>
      </c>
      <c r="EP25" s="34">
        <v>99495.8</v>
      </c>
      <c r="EQ25" s="31">
        <v>22417.49</v>
      </c>
      <c r="ER25" s="31">
        <f t="shared" si="58"/>
        <v>22.531091764677505</v>
      </c>
      <c r="ES25" s="31">
        <v>254738.6</v>
      </c>
      <c r="ET25" s="31">
        <v>72981.899999999994</v>
      </c>
      <c r="EU25" s="36">
        <f t="shared" si="59"/>
        <v>28.649721714730315</v>
      </c>
      <c r="EV25" s="34">
        <f>10527300/1000</f>
        <v>10527.3</v>
      </c>
      <c r="EW25" s="33">
        <v>2842.4</v>
      </c>
      <c r="EX25" s="33">
        <f t="shared" si="60"/>
        <v>27.000275474243161</v>
      </c>
      <c r="EY25" s="34">
        <f>4133000/1000</f>
        <v>4133</v>
      </c>
      <c r="EZ25" s="31">
        <v>0</v>
      </c>
      <c r="FA25" s="31">
        <f t="shared" si="30"/>
        <v>0</v>
      </c>
      <c r="FB25" s="34">
        <v>0</v>
      </c>
      <c r="FC25" s="31">
        <v>0</v>
      </c>
      <c r="FD25" s="31" t="s">
        <v>56</v>
      </c>
      <c r="FE25" s="34">
        <v>0</v>
      </c>
      <c r="FF25" s="31">
        <v>0</v>
      </c>
      <c r="FG25" s="31" t="s">
        <v>56</v>
      </c>
      <c r="FH25" s="34">
        <v>0</v>
      </c>
      <c r="FI25" s="31">
        <v>0</v>
      </c>
      <c r="FJ25" s="31" t="s">
        <v>56</v>
      </c>
      <c r="FK25" s="34">
        <f>332500/1000</f>
        <v>332.5</v>
      </c>
      <c r="FL25" s="31">
        <v>83.1</v>
      </c>
      <c r="FM25" s="31">
        <f t="shared" si="33"/>
        <v>24.992481203007515</v>
      </c>
      <c r="FN25" s="34">
        <f>3100/1000</f>
        <v>3.1</v>
      </c>
      <c r="FO25" s="31">
        <v>0</v>
      </c>
      <c r="FP25" s="31">
        <f t="shared" si="34"/>
        <v>0</v>
      </c>
      <c r="FQ25" s="34">
        <f>95500/1000</f>
        <v>95.5</v>
      </c>
      <c r="FR25" s="31">
        <v>24</v>
      </c>
      <c r="FS25" s="31">
        <f t="shared" si="69"/>
        <v>25.130890052356023</v>
      </c>
      <c r="FT25" s="34">
        <f>5000/1000</f>
        <v>5</v>
      </c>
      <c r="FU25" s="31">
        <v>0</v>
      </c>
      <c r="FV25" s="31">
        <f t="shared" si="73"/>
        <v>0</v>
      </c>
      <c r="FW25" s="34">
        <f>656800/1000</f>
        <v>656.8</v>
      </c>
      <c r="FX25" s="31">
        <f>123199/1000</f>
        <v>123.199</v>
      </c>
      <c r="FY25" s="31">
        <f t="shared" si="36"/>
        <v>18.757460414129113</v>
      </c>
      <c r="FZ25" s="34">
        <f>443100/1000</f>
        <v>443.1</v>
      </c>
      <c r="GA25" s="31">
        <v>111.29</v>
      </c>
      <c r="GB25" s="31">
        <f t="shared" si="37"/>
        <v>25.1162265854209</v>
      </c>
      <c r="GC25" s="34">
        <v>0</v>
      </c>
      <c r="GD25" s="31">
        <v>0</v>
      </c>
      <c r="GE25" s="31" t="s">
        <v>56</v>
      </c>
      <c r="GF25" s="35">
        <v>0</v>
      </c>
      <c r="GG25" s="31">
        <v>0</v>
      </c>
      <c r="GH25" s="31" t="s">
        <v>56</v>
      </c>
      <c r="GI25" s="35">
        <v>2606.4</v>
      </c>
      <c r="GJ25" s="31">
        <v>583.30272999999977</v>
      </c>
      <c r="GK25" s="31">
        <f t="shared" si="40"/>
        <v>22.379632059545724</v>
      </c>
      <c r="GL25" s="34">
        <v>0</v>
      </c>
      <c r="GM25" s="34">
        <v>0</v>
      </c>
      <c r="GN25" s="31" t="s">
        <v>56</v>
      </c>
      <c r="GO25" s="34">
        <f>344300/1000</f>
        <v>344.3</v>
      </c>
      <c r="GP25" s="31">
        <f>86082/1000</f>
        <v>86.081999999999994</v>
      </c>
      <c r="GQ25" s="31">
        <f t="shared" si="76"/>
        <v>25.002033110659305</v>
      </c>
      <c r="GR25" s="34">
        <f>1136700/1000</f>
        <v>1136.7</v>
      </c>
      <c r="GS25" s="31">
        <v>222.3</v>
      </c>
      <c r="GT25" s="31">
        <f t="shared" si="75"/>
        <v>19.556611243072052</v>
      </c>
      <c r="GU25" s="34">
        <f>7590000/1000</f>
        <v>7590</v>
      </c>
      <c r="GV25" s="31">
        <v>0</v>
      </c>
      <c r="GW25" s="31">
        <f t="shared" si="43"/>
        <v>0</v>
      </c>
      <c r="GX25" s="34">
        <f>480100/1000</f>
        <v>480.1</v>
      </c>
      <c r="GY25" s="31">
        <v>0</v>
      </c>
      <c r="GZ25" s="31">
        <v>0</v>
      </c>
      <c r="HA25" s="31">
        <f>(348200+24230500)/1000</f>
        <v>24578.7</v>
      </c>
      <c r="HB25" s="31">
        <f>5653041/1000</f>
        <v>5653.0410000000002</v>
      </c>
      <c r="HC25" s="36">
        <f t="shared" si="61"/>
        <v>22.999755886194144</v>
      </c>
      <c r="HD25" s="34">
        <f>5212000/1000</f>
        <v>5212</v>
      </c>
      <c r="HE25" s="31">
        <v>1302.9000000000001</v>
      </c>
      <c r="HF25" s="31">
        <f t="shared" si="62"/>
        <v>24.998081350729088</v>
      </c>
      <c r="HG25" s="28">
        <f t="shared" si="63"/>
        <v>11515.9</v>
      </c>
      <c r="HH25" s="28">
        <f t="shared" si="64"/>
        <v>0</v>
      </c>
      <c r="HI25" s="26">
        <f t="shared" si="46"/>
        <v>0</v>
      </c>
      <c r="HJ25" s="37">
        <v>0</v>
      </c>
      <c r="HK25" s="37">
        <v>0</v>
      </c>
      <c r="HL25" s="37" t="s">
        <v>56</v>
      </c>
      <c r="HM25" s="33">
        <v>0</v>
      </c>
      <c r="HN25" s="33">
        <v>0</v>
      </c>
      <c r="HO25" s="33" t="s">
        <v>56</v>
      </c>
      <c r="HP25" s="33">
        <f>11515900/1000</f>
        <v>11515.9</v>
      </c>
      <c r="HQ25" s="37">
        <v>0</v>
      </c>
      <c r="HR25" s="37">
        <v>0</v>
      </c>
      <c r="HS25" s="37">
        <v>0</v>
      </c>
      <c r="HT25" s="37">
        <v>0</v>
      </c>
      <c r="HU25" s="37" t="s">
        <v>56</v>
      </c>
      <c r="HV25" s="30">
        <v>0</v>
      </c>
      <c r="HW25" s="31">
        <v>0</v>
      </c>
      <c r="HX25" s="31" t="s">
        <v>56</v>
      </c>
      <c r="HY25" s="30">
        <v>0</v>
      </c>
      <c r="HZ25" s="31">
        <v>0</v>
      </c>
      <c r="IA25" s="31" t="s">
        <v>56</v>
      </c>
      <c r="IB25" s="31">
        <v>0</v>
      </c>
      <c r="IC25" s="31">
        <v>0</v>
      </c>
      <c r="ID25" s="31" t="s">
        <v>56</v>
      </c>
      <c r="IE25" s="31">
        <v>0</v>
      </c>
      <c r="IF25" s="31">
        <v>0</v>
      </c>
      <c r="IG25" s="31" t="s">
        <v>56</v>
      </c>
      <c r="IH25" s="31">
        <v>0</v>
      </c>
      <c r="II25" s="31">
        <v>0</v>
      </c>
      <c r="IJ25" s="31" t="s">
        <v>56</v>
      </c>
      <c r="IK25" s="31">
        <v>0</v>
      </c>
      <c r="IL25" s="31">
        <v>0</v>
      </c>
      <c r="IM25" s="31" t="s">
        <v>56</v>
      </c>
      <c r="IN25" s="31">
        <v>0</v>
      </c>
      <c r="IO25" s="31">
        <v>0</v>
      </c>
      <c r="IP25" s="31" t="s">
        <v>56</v>
      </c>
      <c r="IQ25" s="31">
        <v>0</v>
      </c>
      <c r="IR25" s="31">
        <v>0</v>
      </c>
      <c r="IS25" s="31" t="s">
        <v>56</v>
      </c>
      <c r="IT25" s="11">
        <f t="shared" si="65"/>
        <v>661456.1985399999</v>
      </c>
      <c r="IU25" s="10">
        <f t="shared" si="66"/>
        <v>176508.60472999996</v>
      </c>
      <c r="IV25" s="10">
        <f t="shared" si="67"/>
        <v>26.684851562295254</v>
      </c>
      <c r="IW25" s="16"/>
      <c r="IX25" s="16"/>
      <c r="IZ25" s="18"/>
    </row>
    <row r="26" spans="1:260" x14ac:dyDescent="0.2">
      <c r="A26" s="13" t="s">
        <v>27</v>
      </c>
      <c r="B26" s="23">
        <f t="shared" si="47"/>
        <v>107073</v>
      </c>
      <c r="C26" s="23">
        <f t="shared" si="48"/>
        <v>42125.1</v>
      </c>
      <c r="D26" s="24">
        <f t="shared" si="49"/>
        <v>39.342411252136387</v>
      </c>
      <c r="E26" s="30">
        <v>107073</v>
      </c>
      <c r="F26" s="31">
        <v>42125.1</v>
      </c>
      <c r="G26" s="31">
        <f t="shared" si="50"/>
        <v>39.342411252136387</v>
      </c>
      <c r="H26" s="30">
        <v>0</v>
      </c>
      <c r="I26" s="30">
        <v>0</v>
      </c>
      <c r="J26" s="31" t="s">
        <v>56</v>
      </c>
      <c r="K26" s="31">
        <v>0</v>
      </c>
      <c r="L26" s="31">
        <v>0</v>
      </c>
      <c r="M26" s="31" t="s">
        <v>56</v>
      </c>
      <c r="N26" s="23">
        <f t="shared" si="51"/>
        <v>45865.800340000002</v>
      </c>
      <c r="O26" s="23">
        <f t="shared" si="52"/>
        <v>0</v>
      </c>
      <c r="P26" s="24">
        <f t="shared" si="53"/>
        <v>0</v>
      </c>
      <c r="Q26" s="31">
        <f>16253760/1000</f>
        <v>16253.76</v>
      </c>
      <c r="R26" s="31">
        <v>0</v>
      </c>
      <c r="S26" s="31">
        <f t="shared" si="68"/>
        <v>0</v>
      </c>
      <c r="T26" s="30">
        <v>0</v>
      </c>
      <c r="U26" s="31">
        <v>0</v>
      </c>
      <c r="V26" s="31" t="s">
        <v>56</v>
      </c>
      <c r="W26" s="30">
        <f>1502117.36/1000</f>
        <v>1502.1173600000002</v>
      </c>
      <c r="X26" s="31">
        <v>0</v>
      </c>
      <c r="Y26" s="31">
        <v>0</v>
      </c>
      <c r="Z26" s="30">
        <v>0</v>
      </c>
      <c r="AA26" s="31">
        <v>0</v>
      </c>
      <c r="AB26" s="31" t="s">
        <v>56</v>
      </c>
      <c r="AC26" s="30">
        <v>0</v>
      </c>
      <c r="AD26" s="31">
        <v>0</v>
      </c>
      <c r="AE26" s="31" t="s">
        <v>56</v>
      </c>
      <c r="AF26" s="30">
        <v>0</v>
      </c>
      <c r="AG26" s="31">
        <v>0</v>
      </c>
      <c r="AH26" s="31" t="s">
        <v>56</v>
      </c>
      <c r="AI26" s="30">
        <v>0</v>
      </c>
      <c r="AJ26" s="30">
        <v>0</v>
      </c>
      <c r="AK26" s="31" t="s">
        <v>56</v>
      </c>
      <c r="AL26" s="31">
        <f>4704000/1000</f>
        <v>4704</v>
      </c>
      <c r="AM26" s="31">
        <v>0</v>
      </c>
      <c r="AN26" s="31">
        <v>0</v>
      </c>
      <c r="AO26" s="31">
        <v>0</v>
      </c>
      <c r="AP26" s="31">
        <v>0</v>
      </c>
      <c r="AQ26" s="31" t="s">
        <v>56</v>
      </c>
      <c r="AR26" s="31">
        <v>0</v>
      </c>
      <c r="AS26" s="31">
        <v>0</v>
      </c>
      <c r="AT26" s="31" t="s">
        <v>56</v>
      </c>
      <c r="AU26" s="30">
        <f>1336139.56/1000</f>
        <v>1336.1395600000001</v>
      </c>
      <c r="AV26" s="31">
        <v>0</v>
      </c>
      <c r="AW26" s="31">
        <v>0</v>
      </c>
      <c r="AX26" s="30">
        <v>0</v>
      </c>
      <c r="AY26" s="31">
        <v>0</v>
      </c>
      <c r="AZ26" s="31" t="s">
        <v>56</v>
      </c>
      <c r="BA26" s="30">
        <v>0</v>
      </c>
      <c r="BB26" s="31">
        <v>0</v>
      </c>
      <c r="BC26" s="31" t="s">
        <v>56</v>
      </c>
      <c r="BD26" s="30">
        <f>89470.42/1000</f>
        <v>89.470420000000004</v>
      </c>
      <c r="BE26" s="31">
        <v>0</v>
      </c>
      <c r="BF26" s="31">
        <v>0</v>
      </c>
      <c r="BG26" s="30">
        <f>100000/1000</f>
        <v>100</v>
      </c>
      <c r="BH26" s="31">
        <v>0</v>
      </c>
      <c r="BI26" s="31">
        <v>0</v>
      </c>
      <c r="BJ26" s="30">
        <v>0</v>
      </c>
      <c r="BK26" s="31">
        <v>0</v>
      </c>
      <c r="BL26" s="31" t="s">
        <v>56</v>
      </c>
      <c r="BM26" s="30">
        <v>0</v>
      </c>
      <c r="BN26" s="31">
        <v>0</v>
      </c>
      <c r="BO26" s="31" t="s">
        <v>56</v>
      </c>
      <c r="BP26" s="30">
        <v>0</v>
      </c>
      <c r="BQ26" s="31">
        <v>0</v>
      </c>
      <c r="BR26" s="31" t="s">
        <v>56</v>
      </c>
      <c r="BS26" s="30">
        <v>0</v>
      </c>
      <c r="BT26" s="31">
        <v>0</v>
      </c>
      <c r="BU26" s="31" t="s">
        <v>56</v>
      </c>
      <c r="BV26" s="31">
        <v>0</v>
      </c>
      <c r="BW26" s="31">
        <v>0</v>
      </c>
      <c r="BX26" s="31" t="s">
        <v>56</v>
      </c>
      <c r="BY26" s="31">
        <v>0</v>
      </c>
      <c r="BZ26" s="31">
        <v>0</v>
      </c>
      <c r="CA26" s="32" t="s">
        <v>56</v>
      </c>
      <c r="CB26" s="30">
        <v>0</v>
      </c>
      <c r="CC26" s="30">
        <v>0</v>
      </c>
      <c r="CD26" s="33" t="s">
        <v>56</v>
      </c>
      <c r="CE26" s="30">
        <v>0</v>
      </c>
      <c r="CF26" s="30">
        <v>0</v>
      </c>
      <c r="CG26" s="33" t="s">
        <v>56</v>
      </c>
      <c r="CH26" s="33">
        <v>0</v>
      </c>
      <c r="CI26" s="33">
        <v>0</v>
      </c>
      <c r="CJ26" s="33" t="s">
        <v>56</v>
      </c>
      <c r="CK26" s="30">
        <v>0</v>
      </c>
      <c r="CL26" s="30">
        <v>0</v>
      </c>
      <c r="CM26" s="33" t="s">
        <v>56</v>
      </c>
      <c r="CN26" s="30">
        <f>696589/1000</f>
        <v>696.58900000000006</v>
      </c>
      <c r="CO26" s="33">
        <v>0</v>
      </c>
      <c r="CP26" s="33">
        <v>0</v>
      </c>
      <c r="CQ26" s="33">
        <v>0</v>
      </c>
      <c r="CR26" s="33">
        <v>0</v>
      </c>
      <c r="CS26" s="33" t="s">
        <v>56</v>
      </c>
      <c r="CT26" s="33">
        <v>0</v>
      </c>
      <c r="CU26" s="33">
        <v>0</v>
      </c>
      <c r="CV26" s="33" t="s">
        <v>56</v>
      </c>
      <c r="CW26" s="33">
        <v>0</v>
      </c>
      <c r="CX26" s="33">
        <v>0</v>
      </c>
      <c r="CY26" s="33" t="s">
        <v>56</v>
      </c>
      <c r="CZ26" s="33">
        <f>2035724/1000</f>
        <v>2035.7239999999999</v>
      </c>
      <c r="DA26" s="33">
        <v>0</v>
      </c>
      <c r="DB26" s="33">
        <f t="shared" si="71"/>
        <v>0</v>
      </c>
      <c r="DC26" s="33">
        <f>3190000/1000</f>
        <v>3190</v>
      </c>
      <c r="DD26" s="33">
        <v>0</v>
      </c>
      <c r="DE26" s="33">
        <v>0</v>
      </c>
      <c r="DF26" s="33">
        <v>0</v>
      </c>
      <c r="DG26" s="33">
        <v>0</v>
      </c>
      <c r="DH26" s="33" t="s">
        <v>56</v>
      </c>
      <c r="DI26" s="33">
        <f>958000/1000</f>
        <v>958</v>
      </c>
      <c r="DJ26" s="33">
        <v>0</v>
      </c>
      <c r="DK26" s="33">
        <v>0</v>
      </c>
      <c r="DL26" s="33">
        <v>0</v>
      </c>
      <c r="DM26" s="33">
        <v>0</v>
      </c>
      <c r="DN26" s="33" t="s">
        <v>56</v>
      </c>
      <c r="DO26" s="33">
        <v>0</v>
      </c>
      <c r="DP26" s="33">
        <v>0</v>
      </c>
      <c r="DQ26" s="33" t="s">
        <v>56</v>
      </c>
      <c r="DR26" s="33">
        <v>0</v>
      </c>
      <c r="DS26" s="33">
        <v>0</v>
      </c>
      <c r="DT26" s="33" t="s">
        <v>56</v>
      </c>
      <c r="DU26" s="33">
        <v>0</v>
      </c>
      <c r="DV26" s="33">
        <v>0</v>
      </c>
      <c r="DW26" s="33" t="s">
        <v>56</v>
      </c>
      <c r="DX26" s="30">
        <v>15000</v>
      </c>
      <c r="DY26" s="31">
        <v>0</v>
      </c>
      <c r="DZ26" s="33">
        <v>0</v>
      </c>
      <c r="EA26" s="30">
        <v>0</v>
      </c>
      <c r="EB26" s="31">
        <v>0</v>
      </c>
      <c r="EC26" s="33" t="s">
        <v>56</v>
      </c>
      <c r="ED26" s="23">
        <f t="shared" si="55"/>
        <v>192654.49999999997</v>
      </c>
      <c r="EE26" s="23">
        <f t="shared" si="56"/>
        <v>54422.51208</v>
      </c>
      <c r="EF26" s="24">
        <f t="shared" si="57"/>
        <v>28.248762463373556</v>
      </c>
      <c r="EG26" s="34">
        <f>1208200/1000</f>
        <v>1208.2</v>
      </c>
      <c r="EH26" s="34">
        <v>266.89999999999998</v>
      </c>
      <c r="EI26" s="31">
        <f t="shared" si="26"/>
        <v>22.090713458036745</v>
      </c>
      <c r="EJ26" s="34">
        <v>0</v>
      </c>
      <c r="EK26" s="31">
        <v>0</v>
      </c>
      <c r="EL26" s="31" t="s">
        <v>56</v>
      </c>
      <c r="EM26" s="34">
        <v>0</v>
      </c>
      <c r="EN26" s="31">
        <v>0</v>
      </c>
      <c r="EO26" s="31" t="s">
        <v>56</v>
      </c>
      <c r="EP26" s="34">
        <v>44442.2</v>
      </c>
      <c r="EQ26" s="31">
        <v>9346.3089999999993</v>
      </c>
      <c r="ER26" s="31">
        <f t="shared" si="58"/>
        <v>21.03025727799254</v>
      </c>
      <c r="ES26" s="31">
        <v>125853.6</v>
      </c>
      <c r="ET26" s="31">
        <v>40680</v>
      </c>
      <c r="EU26" s="36">
        <f t="shared" si="59"/>
        <v>32.323270848032955</v>
      </c>
      <c r="EV26" s="34">
        <f>7805700/1000</f>
        <v>7805.7</v>
      </c>
      <c r="EW26" s="33">
        <v>1551.9</v>
      </c>
      <c r="EX26" s="33">
        <f t="shared" si="60"/>
        <v>19.88162496637073</v>
      </c>
      <c r="EY26" s="34">
        <f>1814300/1000</f>
        <v>1814.3</v>
      </c>
      <c r="EZ26" s="31">
        <v>0</v>
      </c>
      <c r="FA26" s="31">
        <f t="shared" si="30"/>
        <v>0</v>
      </c>
      <c r="FB26" s="34">
        <v>0</v>
      </c>
      <c r="FC26" s="31">
        <v>0</v>
      </c>
      <c r="FD26" s="31" t="s">
        <v>56</v>
      </c>
      <c r="FE26" s="34">
        <v>0</v>
      </c>
      <c r="FF26" s="31">
        <v>0</v>
      </c>
      <c r="FG26" s="31" t="s">
        <v>56</v>
      </c>
      <c r="FH26" s="34">
        <v>0</v>
      </c>
      <c r="FI26" s="31">
        <v>0</v>
      </c>
      <c r="FJ26" s="31" t="s">
        <v>56</v>
      </c>
      <c r="FK26" s="34">
        <f>192500/1000</f>
        <v>192.5</v>
      </c>
      <c r="FL26" s="31">
        <v>48</v>
      </c>
      <c r="FM26" s="31">
        <f t="shared" si="33"/>
        <v>24.935064935064936</v>
      </c>
      <c r="FN26" s="34">
        <f>700/1000</f>
        <v>0.7</v>
      </c>
      <c r="FO26" s="31">
        <v>0</v>
      </c>
      <c r="FP26" s="31">
        <f t="shared" si="34"/>
        <v>0</v>
      </c>
      <c r="FQ26" s="34">
        <f>95500/1000</f>
        <v>95.5</v>
      </c>
      <c r="FR26" s="31">
        <v>15.9</v>
      </c>
      <c r="FS26" s="31">
        <f t="shared" si="69"/>
        <v>16.649214659685864</v>
      </c>
      <c r="FT26" s="34">
        <v>0</v>
      </c>
      <c r="FU26" s="31">
        <v>0</v>
      </c>
      <c r="FV26" s="31" t="s">
        <v>56</v>
      </c>
      <c r="FW26" s="34">
        <f>533300/1000</f>
        <v>533.29999999999995</v>
      </c>
      <c r="FX26" s="31">
        <f>103738/1000</f>
        <v>103.738</v>
      </c>
      <c r="FY26" s="31">
        <f t="shared" si="36"/>
        <v>19.452090755672231</v>
      </c>
      <c r="FZ26" s="34">
        <f>198400/1000</f>
        <v>198.4</v>
      </c>
      <c r="GA26" s="31">
        <v>39</v>
      </c>
      <c r="GB26" s="31">
        <f t="shared" si="37"/>
        <v>19.657258064516128</v>
      </c>
      <c r="GC26" s="34">
        <v>0</v>
      </c>
      <c r="GD26" s="31">
        <v>0</v>
      </c>
      <c r="GE26" s="31" t="s">
        <v>56</v>
      </c>
      <c r="GF26" s="35">
        <v>0</v>
      </c>
      <c r="GG26" s="31">
        <v>0</v>
      </c>
      <c r="GH26" s="31" t="s">
        <v>56</v>
      </c>
      <c r="GI26" s="35">
        <v>1559.8</v>
      </c>
      <c r="GJ26" s="31">
        <v>325.55708000000004</v>
      </c>
      <c r="GK26" s="31">
        <f t="shared" si="40"/>
        <v>20.871719451211696</v>
      </c>
      <c r="GL26" s="34">
        <v>0</v>
      </c>
      <c r="GM26" s="34">
        <v>0</v>
      </c>
      <c r="GN26" s="31" t="s">
        <v>56</v>
      </c>
      <c r="GO26" s="34">
        <v>0</v>
      </c>
      <c r="GP26" s="31">
        <v>0</v>
      </c>
      <c r="GQ26" s="31" t="s">
        <v>56</v>
      </c>
      <c r="GR26" s="34">
        <f>1318200/1000</f>
        <v>1318.2</v>
      </c>
      <c r="GS26" s="31">
        <v>212.2</v>
      </c>
      <c r="GT26" s="31">
        <f t="shared" si="75"/>
        <v>16.09770899711728</v>
      </c>
      <c r="GU26" s="34">
        <v>0</v>
      </c>
      <c r="GV26" s="31">
        <v>0</v>
      </c>
      <c r="GW26" s="31" t="s">
        <v>56</v>
      </c>
      <c r="GX26" s="34">
        <f>163300/1000</f>
        <v>163.30000000000001</v>
      </c>
      <c r="GY26" s="31">
        <v>0</v>
      </c>
      <c r="GZ26" s="31">
        <v>0</v>
      </c>
      <c r="HA26" s="31">
        <f>(146500+5913300)/1000</f>
        <v>6059.8</v>
      </c>
      <c r="HB26" s="31">
        <f>1598208/1000</f>
        <v>1598.2080000000001</v>
      </c>
      <c r="HC26" s="36">
        <f t="shared" si="61"/>
        <v>26.373939733984621</v>
      </c>
      <c r="HD26" s="34">
        <f>1409000/1000</f>
        <v>1409</v>
      </c>
      <c r="HE26" s="31">
        <v>234.8</v>
      </c>
      <c r="HF26" s="31">
        <f t="shared" si="62"/>
        <v>16.664300922640169</v>
      </c>
      <c r="HG26" s="28">
        <f t="shared" si="63"/>
        <v>6137.2</v>
      </c>
      <c r="HH26" s="28">
        <f t="shared" si="64"/>
        <v>0</v>
      </c>
      <c r="HI26" s="26">
        <f t="shared" si="46"/>
        <v>0</v>
      </c>
      <c r="HJ26" s="37">
        <v>0</v>
      </c>
      <c r="HK26" s="37">
        <v>0</v>
      </c>
      <c r="HL26" s="37" t="s">
        <v>56</v>
      </c>
      <c r="HM26" s="33">
        <v>0</v>
      </c>
      <c r="HN26" s="33">
        <v>0</v>
      </c>
      <c r="HO26" s="33" t="s">
        <v>56</v>
      </c>
      <c r="HP26" s="33">
        <f>3137200/1000</f>
        <v>3137.2</v>
      </c>
      <c r="HQ26" s="37">
        <v>0</v>
      </c>
      <c r="HR26" s="37">
        <v>0</v>
      </c>
      <c r="HS26" s="37">
        <v>0</v>
      </c>
      <c r="HT26" s="37">
        <v>0</v>
      </c>
      <c r="HU26" s="37" t="s">
        <v>56</v>
      </c>
      <c r="HV26" s="30">
        <f>2970000/1000</f>
        <v>2970</v>
      </c>
      <c r="HW26" s="31">
        <v>0</v>
      </c>
      <c r="HX26" s="31">
        <v>0</v>
      </c>
      <c r="HY26" s="30">
        <v>0</v>
      </c>
      <c r="HZ26" s="31">
        <v>0</v>
      </c>
      <c r="IA26" s="31" t="s">
        <v>56</v>
      </c>
      <c r="IB26" s="31">
        <v>0</v>
      </c>
      <c r="IC26" s="31">
        <v>0</v>
      </c>
      <c r="ID26" s="31" t="s">
        <v>56</v>
      </c>
      <c r="IE26" s="31">
        <f>30000/1000</f>
        <v>30</v>
      </c>
      <c r="IF26" s="31">
        <v>0</v>
      </c>
      <c r="IG26" s="31">
        <v>0</v>
      </c>
      <c r="IH26" s="31">
        <v>0</v>
      </c>
      <c r="II26" s="31">
        <v>0</v>
      </c>
      <c r="IJ26" s="31" t="s">
        <v>56</v>
      </c>
      <c r="IK26" s="31">
        <v>0</v>
      </c>
      <c r="IL26" s="31">
        <v>0</v>
      </c>
      <c r="IM26" s="31" t="s">
        <v>56</v>
      </c>
      <c r="IN26" s="31">
        <v>0</v>
      </c>
      <c r="IO26" s="31">
        <v>0</v>
      </c>
      <c r="IP26" s="31" t="s">
        <v>56</v>
      </c>
      <c r="IQ26" s="31">
        <v>0</v>
      </c>
      <c r="IR26" s="31">
        <v>0</v>
      </c>
      <c r="IS26" s="31" t="s">
        <v>56</v>
      </c>
      <c r="IT26" s="11">
        <f t="shared" si="65"/>
        <v>351730.50033999997</v>
      </c>
      <c r="IU26" s="10">
        <f t="shared" si="66"/>
        <v>96547.612079999992</v>
      </c>
      <c r="IV26" s="10">
        <f t="shared" si="67"/>
        <v>27.449314741449015</v>
      </c>
      <c r="IW26" s="16"/>
      <c r="IX26" s="16"/>
      <c r="IZ26" s="18"/>
    </row>
    <row r="27" spans="1:260" ht="18" customHeight="1" x14ac:dyDescent="0.2">
      <c r="A27" s="13" t="s">
        <v>30</v>
      </c>
      <c r="B27" s="23">
        <f t="shared" si="47"/>
        <v>98687</v>
      </c>
      <c r="C27" s="23">
        <f t="shared" si="48"/>
        <v>54331.3</v>
      </c>
      <c r="D27" s="24">
        <f t="shared" si="49"/>
        <v>55.054161135711901</v>
      </c>
      <c r="E27" s="30">
        <v>98687</v>
      </c>
      <c r="F27" s="31">
        <v>54331.3</v>
      </c>
      <c r="G27" s="31">
        <f t="shared" si="50"/>
        <v>55.054161135711901</v>
      </c>
      <c r="H27" s="30">
        <v>0</v>
      </c>
      <c r="I27" s="30">
        <v>0</v>
      </c>
      <c r="J27" s="31" t="s">
        <v>56</v>
      </c>
      <c r="K27" s="31">
        <v>0</v>
      </c>
      <c r="L27" s="31">
        <v>0</v>
      </c>
      <c r="M27" s="31" t="s">
        <v>56</v>
      </c>
      <c r="N27" s="23">
        <f t="shared" si="51"/>
        <v>85846.279169999994</v>
      </c>
      <c r="O27" s="23">
        <f t="shared" si="52"/>
        <v>240.7</v>
      </c>
      <c r="P27" s="24">
        <f t="shared" si="53"/>
        <v>0.28038489533523719</v>
      </c>
      <c r="Q27" s="31">
        <f>16253760/1000</f>
        <v>16253.76</v>
      </c>
      <c r="R27" s="31">
        <v>0</v>
      </c>
      <c r="S27" s="31">
        <f t="shared" si="68"/>
        <v>0</v>
      </c>
      <c r="T27" s="30">
        <v>0</v>
      </c>
      <c r="U27" s="31">
        <v>0</v>
      </c>
      <c r="V27" s="31" t="s">
        <v>56</v>
      </c>
      <c r="W27" s="30">
        <f>4709265.31/1000</f>
        <v>4709.2653099999998</v>
      </c>
      <c r="X27" s="31">
        <v>0</v>
      </c>
      <c r="Y27" s="31">
        <v>0</v>
      </c>
      <c r="Z27" s="30">
        <v>0</v>
      </c>
      <c r="AA27" s="31">
        <v>0</v>
      </c>
      <c r="AB27" s="31" t="s">
        <v>56</v>
      </c>
      <c r="AC27" s="30">
        <v>0</v>
      </c>
      <c r="AD27" s="31">
        <v>0</v>
      </c>
      <c r="AE27" s="31" t="s">
        <v>56</v>
      </c>
      <c r="AF27" s="30">
        <v>0</v>
      </c>
      <c r="AG27" s="31">
        <v>0</v>
      </c>
      <c r="AH27" s="31" t="s">
        <v>56</v>
      </c>
      <c r="AI27" s="30">
        <v>0</v>
      </c>
      <c r="AJ27" s="30">
        <v>0</v>
      </c>
      <c r="AK27" s="31" t="s">
        <v>56</v>
      </c>
      <c r="AL27" s="31">
        <f>3060300/1000</f>
        <v>3060.3</v>
      </c>
      <c r="AM27" s="31">
        <v>0</v>
      </c>
      <c r="AN27" s="31">
        <v>0</v>
      </c>
      <c r="AO27" s="31">
        <v>0</v>
      </c>
      <c r="AP27" s="31">
        <v>0</v>
      </c>
      <c r="AQ27" s="31" t="s">
        <v>56</v>
      </c>
      <c r="AR27" s="31">
        <v>0</v>
      </c>
      <c r="AS27" s="31">
        <v>0</v>
      </c>
      <c r="AT27" s="31" t="s">
        <v>56</v>
      </c>
      <c r="AU27" s="30">
        <f>445379.85/1000</f>
        <v>445.37984999999998</v>
      </c>
      <c r="AV27" s="31">
        <v>0</v>
      </c>
      <c r="AW27" s="31">
        <v>0</v>
      </c>
      <c r="AX27" s="30">
        <v>0</v>
      </c>
      <c r="AY27" s="31">
        <v>0</v>
      </c>
      <c r="AZ27" s="31" t="s">
        <v>56</v>
      </c>
      <c r="BA27" s="30">
        <v>0</v>
      </c>
      <c r="BB27" s="31">
        <v>0</v>
      </c>
      <c r="BC27" s="31" t="s">
        <v>56</v>
      </c>
      <c r="BD27" s="30">
        <f>44735.21/1000</f>
        <v>44.735210000000002</v>
      </c>
      <c r="BE27" s="31">
        <v>0</v>
      </c>
      <c r="BF27" s="31">
        <f>BE27/BD27%</f>
        <v>0</v>
      </c>
      <c r="BG27" s="30">
        <f>100000/1000</f>
        <v>100</v>
      </c>
      <c r="BH27" s="31">
        <v>0</v>
      </c>
      <c r="BI27" s="31">
        <v>0</v>
      </c>
      <c r="BJ27" s="30">
        <v>0</v>
      </c>
      <c r="BK27" s="31">
        <v>0</v>
      </c>
      <c r="BL27" s="31" t="s">
        <v>56</v>
      </c>
      <c r="BM27" s="30">
        <v>0</v>
      </c>
      <c r="BN27" s="31">
        <v>0</v>
      </c>
      <c r="BO27" s="31" t="s">
        <v>56</v>
      </c>
      <c r="BP27" s="30">
        <v>0</v>
      </c>
      <c r="BQ27" s="31">
        <v>0</v>
      </c>
      <c r="BR27" s="31" t="s">
        <v>56</v>
      </c>
      <c r="BS27" s="30">
        <v>0</v>
      </c>
      <c r="BT27" s="31">
        <v>0</v>
      </c>
      <c r="BU27" s="31" t="s">
        <v>56</v>
      </c>
      <c r="BV27" s="31">
        <v>0</v>
      </c>
      <c r="BW27" s="31">
        <v>0</v>
      </c>
      <c r="BX27" s="31" t="s">
        <v>56</v>
      </c>
      <c r="BY27" s="31">
        <v>2407.8000000000002</v>
      </c>
      <c r="BZ27" s="31">
        <v>240.7</v>
      </c>
      <c r="CA27" s="32">
        <f t="shared" si="54"/>
        <v>9.9966774649057211</v>
      </c>
      <c r="CB27" s="30">
        <v>0</v>
      </c>
      <c r="CC27" s="30">
        <v>0</v>
      </c>
      <c r="CD27" s="33" t="s">
        <v>56</v>
      </c>
      <c r="CE27" s="30">
        <v>0</v>
      </c>
      <c r="CF27" s="30">
        <v>0</v>
      </c>
      <c r="CG27" s="33" t="s">
        <v>56</v>
      </c>
      <c r="CH27" s="33">
        <v>0</v>
      </c>
      <c r="CI27" s="33">
        <v>0</v>
      </c>
      <c r="CJ27" s="33" t="s">
        <v>56</v>
      </c>
      <c r="CK27" s="30">
        <v>0</v>
      </c>
      <c r="CL27" s="30">
        <v>0</v>
      </c>
      <c r="CM27" s="33" t="s">
        <v>56</v>
      </c>
      <c r="CN27" s="30">
        <f>4956720/1000</f>
        <v>4956.72</v>
      </c>
      <c r="CO27" s="33">
        <v>0</v>
      </c>
      <c r="CP27" s="33">
        <v>0</v>
      </c>
      <c r="CQ27" s="33">
        <f>185282.8/1000</f>
        <v>185.28279999999998</v>
      </c>
      <c r="CR27" s="33">
        <v>0</v>
      </c>
      <c r="CS27" s="33">
        <v>0</v>
      </c>
      <c r="CT27" s="33">
        <f>72700/1000</f>
        <v>72.7</v>
      </c>
      <c r="CU27" s="33">
        <v>0</v>
      </c>
      <c r="CV27" s="33">
        <v>0</v>
      </c>
      <c r="CW27" s="33">
        <f>11866836/1000</f>
        <v>11866.835999999999</v>
      </c>
      <c r="CX27" s="33">
        <v>0</v>
      </c>
      <c r="CY27" s="33">
        <v>0</v>
      </c>
      <c r="CZ27" s="33">
        <v>0</v>
      </c>
      <c r="DA27" s="33">
        <v>0</v>
      </c>
      <c r="DB27" s="33" t="s">
        <v>56</v>
      </c>
      <c r="DC27" s="33">
        <f>24750000/1000</f>
        <v>24750</v>
      </c>
      <c r="DD27" s="33">
        <v>0</v>
      </c>
      <c r="DE27" s="33">
        <v>0</v>
      </c>
      <c r="DF27" s="33">
        <v>0</v>
      </c>
      <c r="DG27" s="33">
        <v>0</v>
      </c>
      <c r="DH27" s="33" t="s">
        <v>56</v>
      </c>
      <c r="DI27" s="33">
        <f>13003100/1000</f>
        <v>13003.1</v>
      </c>
      <c r="DJ27" s="33">
        <v>0</v>
      </c>
      <c r="DK27" s="33">
        <v>0</v>
      </c>
      <c r="DL27" s="33">
        <v>0</v>
      </c>
      <c r="DM27" s="33">
        <v>0</v>
      </c>
      <c r="DN27" s="33" t="s">
        <v>56</v>
      </c>
      <c r="DO27" s="33">
        <v>0</v>
      </c>
      <c r="DP27" s="33">
        <v>0</v>
      </c>
      <c r="DQ27" s="33" t="s">
        <v>56</v>
      </c>
      <c r="DR27" s="33">
        <f>3990400/1000</f>
        <v>3990.4</v>
      </c>
      <c r="DS27" s="33">
        <v>0</v>
      </c>
      <c r="DT27" s="33">
        <f t="shared" si="72"/>
        <v>0</v>
      </c>
      <c r="DU27" s="33">
        <v>0</v>
      </c>
      <c r="DV27" s="33">
        <v>0</v>
      </c>
      <c r="DW27" s="33" t="s">
        <v>56</v>
      </c>
      <c r="DX27" s="30">
        <v>0</v>
      </c>
      <c r="DY27" s="31">
        <v>0</v>
      </c>
      <c r="DZ27" s="33" t="s">
        <v>56</v>
      </c>
      <c r="EA27" s="30">
        <v>0</v>
      </c>
      <c r="EB27" s="31">
        <v>0</v>
      </c>
      <c r="EC27" s="33" t="s">
        <v>56</v>
      </c>
      <c r="ED27" s="23">
        <f t="shared" si="55"/>
        <v>266812.38000000006</v>
      </c>
      <c r="EE27" s="23">
        <f t="shared" si="56"/>
        <v>77835.332200000004</v>
      </c>
      <c r="EF27" s="24">
        <f t="shared" si="57"/>
        <v>29.172309096002213</v>
      </c>
      <c r="EG27" s="34">
        <f>1963300/1000</f>
        <v>1963.3</v>
      </c>
      <c r="EH27" s="34">
        <f>528306.05/1000</f>
        <v>528.30605000000003</v>
      </c>
      <c r="EI27" s="31">
        <f t="shared" si="26"/>
        <v>26.909084194977847</v>
      </c>
      <c r="EJ27" s="34">
        <f>114200/1000</f>
        <v>114.2</v>
      </c>
      <c r="EK27" s="31">
        <v>0</v>
      </c>
      <c r="EL27" s="31">
        <f t="shared" ref="EL27:EL37" si="82">EK27/EJ27%</f>
        <v>0</v>
      </c>
      <c r="EM27" s="34">
        <v>0</v>
      </c>
      <c r="EN27" s="31">
        <v>0</v>
      </c>
      <c r="EO27" s="31" t="s">
        <v>56</v>
      </c>
      <c r="EP27" s="34">
        <v>72387.3</v>
      </c>
      <c r="EQ27" s="31">
        <v>20870.642</v>
      </c>
      <c r="ER27" s="31">
        <f t="shared" si="58"/>
        <v>28.83191112253116</v>
      </c>
      <c r="ES27" s="31">
        <v>159620.6</v>
      </c>
      <c r="ET27" s="31">
        <v>49883</v>
      </c>
      <c r="EU27" s="36">
        <f t="shared" si="59"/>
        <v>31.25097888367792</v>
      </c>
      <c r="EV27" s="34">
        <f>8004200/1000</f>
        <v>8004.2</v>
      </c>
      <c r="EW27" s="33">
        <v>2175.1999999999998</v>
      </c>
      <c r="EX27" s="33">
        <f t="shared" si="60"/>
        <v>27.175732740311332</v>
      </c>
      <c r="EY27" s="34">
        <f>4365000/1000</f>
        <v>4365</v>
      </c>
      <c r="EZ27" s="31">
        <v>0</v>
      </c>
      <c r="FA27" s="31">
        <f t="shared" si="30"/>
        <v>0</v>
      </c>
      <c r="FB27" s="34">
        <f>209500/1000</f>
        <v>209.5</v>
      </c>
      <c r="FC27" s="31">
        <v>0</v>
      </c>
      <c r="FD27" s="31">
        <f>FC27/FB27%</f>
        <v>0</v>
      </c>
      <c r="FE27" s="34">
        <v>0</v>
      </c>
      <c r="FF27" s="31">
        <v>0</v>
      </c>
      <c r="FG27" s="31" t="s">
        <v>56</v>
      </c>
      <c r="FH27" s="34">
        <v>0</v>
      </c>
      <c r="FI27" s="31">
        <v>0</v>
      </c>
      <c r="FJ27" s="31" t="s">
        <v>56</v>
      </c>
      <c r="FK27" s="34">
        <f>227500/1000</f>
        <v>227.5</v>
      </c>
      <c r="FL27" s="31">
        <v>57</v>
      </c>
      <c r="FM27" s="31">
        <f t="shared" si="33"/>
        <v>25.054945054945055</v>
      </c>
      <c r="FN27" s="34">
        <f>1600/1000</f>
        <v>1.6</v>
      </c>
      <c r="FO27" s="31">
        <v>0</v>
      </c>
      <c r="FP27" s="31">
        <f t="shared" si="34"/>
        <v>0</v>
      </c>
      <c r="FQ27" s="34">
        <f>95500/1000</f>
        <v>95.5</v>
      </c>
      <c r="FR27" s="31">
        <v>24</v>
      </c>
      <c r="FS27" s="31">
        <f t="shared" si="69"/>
        <v>25.130890052356023</v>
      </c>
      <c r="FT27" s="34">
        <v>0</v>
      </c>
      <c r="FU27" s="31">
        <v>0</v>
      </c>
      <c r="FV27" s="31" t="s">
        <v>56</v>
      </c>
      <c r="FW27" s="34">
        <f>593800/1000</f>
        <v>593.79999999999995</v>
      </c>
      <c r="FX27" s="31">
        <f>115705/1000</f>
        <v>115.705</v>
      </c>
      <c r="FY27" s="31">
        <f t="shared" si="36"/>
        <v>19.485517009093972</v>
      </c>
      <c r="FZ27" s="34">
        <f>209900/1000</f>
        <v>209.9</v>
      </c>
      <c r="GA27" s="31">
        <f>45844/1000</f>
        <v>45.844000000000001</v>
      </c>
      <c r="GB27" s="31">
        <f t="shared" si="37"/>
        <v>21.840876607908527</v>
      </c>
      <c r="GC27" s="34">
        <v>0</v>
      </c>
      <c r="GD27" s="31">
        <v>0</v>
      </c>
      <c r="GE27" s="31" t="s">
        <v>56</v>
      </c>
      <c r="GF27" s="35">
        <f>880/1000</f>
        <v>0.88</v>
      </c>
      <c r="GG27" s="31">
        <v>0</v>
      </c>
      <c r="GH27" s="31">
        <v>0</v>
      </c>
      <c r="GI27" s="35">
        <v>2183.6999999999998</v>
      </c>
      <c r="GJ27" s="31">
        <v>508.67667</v>
      </c>
      <c r="GK27" s="31">
        <f t="shared" si="40"/>
        <v>23.294256079131749</v>
      </c>
      <c r="GL27" s="34">
        <v>0</v>
      </c>
      <c r="GM27" s="34">
        <v>0</v>
      </c>
      <c r="GN27" s="31" t="s">
        <v>56</v>
      </c>
      <c r="GO27" s="34">
        <f>40200/1000</f>
        <v>40.200000000000003</v>
      </c>
      <c r="GP27" s="31">
        <f>10062/1000</f>
        <v>10.061999999999999</v>
      </c>
      <c r="GQ27" s="31">
        <f t="shared" ref="GQ27:GQ38" si="83">GP27/GO27%</f>
        <v>25.029850746268654</v>
      </c>
      <c r="GR27" s="34">
        <f>925500/1000</f>
        <v>925.5</v>
      </c>
      <c r="GS27" s="31">
        <v>186.9</v>
      </c>
      <c r="GT27" s="31">
        <f>GS27/GR27%</f>
        <v>20.194489465153971</v>
      </c>
      <c r="GU27" s="34">
        <v>0</v>
      </c>
      <c r="GV27" s="31">
        <v>0</v>
      </c>
      <c r="GW27" s="31" t="s">
        <v>56</v>
      </c>
      <c r="GX27" s="34">
        <f>275300/1000</f>
        <v>275.3</v>
      </c>
      <c r="GY27" s="31">
        <v>0</v>
      </c>
      <c r="GZ27" s="31">
        <v>0</v>
      </c>
      <c r="HA27" s="31">
        <f>(257300+12809100)/1000</f>
        <v>13066.4</v>
      </c>
      <c r="HB27" s="31">
        <f>2797896.48/1000</f>
        <v>2797.8964799999999</v>
      </c>
      <c r="HC27" s="36">
        <f t="shared" si="61"/>
        <v>21.412910059388967</v>
      </c>
      <c r="HD27" s="34">
        <f>2528000/1000</f>
        <v>2528</v>
      </c>
      <c r="HE27" s="31">
        <v>632.1</v>
      </c>
      <c r="HF27" s="31">
        <f t="shared" si="62"/>
        <v>25.003955696202535</v>
      </c>
      <c r="HG27" s="28">
        <f t="shared" si="63"/>
        <v>8581.4</v>
      </c>
      <c r="HH27" s="28">
        <f t="shared" si="64"/>
        <v>0</v>
      </c>
      <c r="HI27" s="26">
        <f t="shared" si="46"/>
        <v>0</v>
      </c>
      <c r="HJ27" s="37">
        <v>0</v>
      </c>
      <c r="HK27" s="37">
        <v>0</v>
      </c>
      <c r="HL27" s="37" t="s">
        <v>56</v>
      </c>
      <c r="HM27" s="33">
        <v>0</v>
      </c>
      <c r="HN27" s="33">
        <v>0</v>
      </c>
      <c r="HO27" s="33" t="s">
        <v>56</v>
      </c>
      <c r="HP27" s="33">
        <f>5581400/1000</f>
        <v>5581.4</v>
      </c>
      <c r="HQ27" s="37">
        <v>0</v>
      </c>
      <c r="HR27" s="37">
        <v>0</v>
      </c>
      <c r="HS27" s="37">
        <v>0</v>
      </c>
      <c r="HT27" s="37">
        <v>0</v>
      </c>
      <c r="HU27" s="37" t="s">
        <v>56</v>
      </c>
      <c r="HV27" s="30">
        <f>2970000/1000</f>
        <v>2970</v>
      </c>
      <c r="HW27" s="31">
        <v>0</v>
      </c>
      <c r="HX27" s="31">
        <v>0</v>
      </c>
      <c r="HY27" s="30">
        <v>0</v>
      </c>
      <c r="HZ27" s="31">
        <v>0</v>
      </c>
      <c r="IA27" s="31" t="s">
        <v>56</v>
      </c>
      <c r="IB27" s="31">
        <v>0</v>
      </c>
      <c r="IC27" s="31">
        <v>0</v>
      </c>
      <c r="ID27" s="31" t="s">
        <v>56</v>
      </c>
      <c r="IE27" s="31">
        <f>30000/1000</f>
        <v>30</v>
      </c>
      <c r="IF27" s="31">
        <v>0</v>
      </c>
      <c r="IG27" s="31">
        <v>0</v>
      </c>
      <c r="IH27" s="31">
        <v>0</v>
      </c>
      <c r="II27" s="31">
        <v>0</v>
      </c>
      <c r="IJ27" s="31" t="s">
        <v>56</v>
      </c>
      <c r="IK27" s="31">
        <v>0</v>
      </c>
      <c r="IL27" s="31">
        <v>0</v>
      </c>
      <c r="IM27" s="31" t="s">
        <v>56</v>
      </c>
      <c r="IN27" s="31">
        <v>0</v>
      </c>
      <c r="IO27" s="31">
        <v>0</v>
      </c>
      <c r="IP27" s="31" t="s">
        <v>56</v>
      </c>
      <c r="IQ27" s="31">
        <v>0</v>
      </c>
      <c r="IR27" s="31">
        <v>0</v>
      </c>
      <c r="IS27" s="31" t="s">
        <v>56</v>
      </c>
      <c r="IT27" s="11">
        <f t="shared" si="65"/>
        <v>459927.05917000008</v>
      </c>
      <c r="IU27" s="10">
        <f t="shared" si="66"/>
        <v>132407.3322</v>
      </c>
      <c r="IV27" s="10">
        <f t="shared" si="67"/>
        <v>28.788767601311989</v>
      </c>
      <c r="IW27" s="16"/>
      <c r="IX27" s="16"/>
      <c r="IZ27" s="18"/>
    </row>
    <row r="28" spans="1:260" ht="14.25" customHeight="1" x14ac:dyDescent="0.2">
      <c r="A28" s="13" t="s">
        <v>31</v>
      </c>
      <c r="B28" s="23">
        <f t="shared" si="47"/>
        <v>105767</v>
      </c>
      <c r="C28" s="23">
        <f t="shared" si="48"/>
        <v>42400</v>
      </c>
      <c r="D28" s="24">
        <f t="shared" si="49"/>
        <v>40.088118222129779</v>
      </c>
      <c r="E28" s="30">
        <v>105767</v>
      </c>
      <c r="F28" s="31">
        <v>42400</v>
      </c>
      <c r="G28" s="31">
        <f t="shared" si="50"/>
        <v>40.088118222129779</v>
      </c>
      <c r="H28" s="30">
        <v>0</v>
      </c>
      <c r="I28" s="30">
        <v>0</v>
      </c>
      <c r="J28" s="31" t="s">
        <v>56</v>
      </c>
      <c r="K28" s="31">
        <v>0</v>
      </c>
      <c r="L28" s="31">
        <v>0</v>
      </c>
      <c r="M28" s="31" t="s">
        <v>56</v>
      </c>
      <c r="N28" s="23">
        <f t="shared" si="51"/>
        <v>69697.389480000013</v>
      </c>
      <c r="O28" s="23">
        <f t="shared" si="52"/>
        <v>100</v>
      </c>
      <c r="P28" s="24">
        <f t="shared" si="53"/>
        <v>0.14347739670894769</v>
      </c>
      <c r="Q28" s="31">
        <f>32507520/1000</f>
        <v>32507.52</v>
      </c>
      <c r="R28" s="31">
        <v>0</v>
      </c>
      <c r="S28" s="31">
        <f t="shared" si="68"/>
        <v>0</v>
      </c>
      <c r="T28" s="30">
        <v>0</v>
      </c>
      <c r="U28" s="31">
        <v>0</v>
      </c>
      <c r="V28" s="31" t="s">
        <v>56</v>
      </c>
      <c r="W28" s="30">
        <f>13630780.9/1000</f>
        <v>13630.7809</v>
      </c>
      <c r="X28" s="31">
        <v>0</v>
      </c>
      <c r="Y28" s="31">
        <v>0</v>
      </c>
      <c r="Z28" s="30">
        <v>0</v>
      </c>
      <c r="AA28" s="31">
        <v>0</v>
      </c>
      <c r="AB28" s="31" t="s">
        <v>56</v>
      </c>
      <c r="AC28" s="30">
        <v>0</v>
      </c>
      <c r="AD28" s="31">
        <v>0</v>
      </c>
      <c r="AE28" s="31" t="s">
        <v>56</v>
      </c>
      <c r="AF28" s="30">
        <v>0</v>
      </c>
      <c r="AG28" s="31">
        <v>0</v>
      </c>
      <c r="AH28" s="31" t="s">
        <v>56</v>
      </c>
      <c r="AI28" s="30">
        <v>0</v>
      </c>
      <c r="AJ28" s="30">
        <v>0</v>
      </c>
      <c r="AK28" s="31" t="s">
        <v>56</v>
      </c>
      <c r="AL28" s="31">
        <f>3358600/1000</f>
        <v>3358.6</v>
      </c>
      <c r="AM28" s="31">
        <v>0</v>
      </c>
      <c r="AN28" s="31">
        <v>0</v>
      </c>
      <c r="AO28" s="31">
        <v>0</v>
      </c>
      <c r="AP28" s="31">
        <v>0</v>
      </c>
      <c r="AQ28" s="31" t="s">
        <v>56</v>
      </c>
      <c r="AR28" s="31">
        <v>0</v>
      </c>
      <c r="AS28" s="31">
        <v>0</v>
      </c>
      <c r="AT28" s="31" t="s">
        <v>56</v>
      </c>
      <c r="AU28" s="30">
        <v>0</v>
      </c>
      <c r="AV28" s="31">
        <v>0</v>
      </c>
      <c r="AW28" s="31" t="s">
        <v>56</v>
      </c>
      <c r="AX28" s="30">
        <v>0</v>
      </c>
      <c r="AY28" s="31">
        <v>0</v>
      </c>
      <c r="AZ28" s="31" t="s">
        <v>56</v>
      </c>
      <c r="BA28" s="30">
        <v>0</v>
      </c>
      <c r="BB28" s="31">
        <v>0</v>
      </c>
      <c r="BC28" s="31" t="s">
        <v>56</v>
      </c>
      <c r="BD28" s="30">
        <v>0</v>
      </c>
      <c r="BE28" s="31">
        <v>0</v>
      </c>
      <c r="BF28" s="31" t="s">
        <v>56</v>
      </c>
      <c r="BG28" s="30">
        <f>200000/1000</f>
        <v>200</v>
      </c>
      <c r="BH28" s="31">
        <v>0</v>
      </c>
      <c r="BI28" s="31">
        <v>0</v>
      </c>
      <c r="BJ28" s="30">
        <v>0</v>
      </c>
      <c r="BK28" s="31">
        <v>0</v>
      </c>
      <c r="BL28" s="31" t="s">
        <v>56</v>
      </c>
      <c r="BM28" s="30">
        <v>0</v>
      </c>
      <c r="BN28" s="31">
        <v>0</v>
      </c>
      <c r="BO28" s="31" t="s">
        <v>56</v>
      </c>
      <c r="BP28" s="30">
        <v>0</v>
      </c>
      <c r="BQ28" s="31">
        <v>0</v>
      </c>
      <c r="BR28" s="31" t="s">
        <v>56</v>
      </c>
      <c r="BS28" s="30">
        <v>0</v>
      </c>
      <c r="BT28" s="31">
        <v>0</v>
      </c>
      <c r="BU28" s="31" t="s">
        <v>56</v>
      </c>
      <c r="BV28" s="31">
        <v>0</v>
      </c>
      <c r="BW28" s="31">
        <v>0</v>
      </c>
      <c r="BX28" s="31" t="s">
        <v>56</v>
      </c>
      <c r="BY28" s="31">
        <v>1227.3</v>
      </c>
      <c r="BZ28" s="31">
        <v>100</v>
      </c>
      <c r="CA28" s="32">
        <f t="shared" si="54"/>
        <v>8.1479670822129879</v>
      </c>
      <c r="CB28" s="30">
        <v>0</v>
      </c>
      <c r="CC28" s="30">
        <v>0</v>
      </c>
      <c r="CD28" s="33" t="s">
        <v>56</v>
      </c>
      <c r="CE28" s="30">
        <v>0</v>
      </c>
      <c r="CF28" s="30">
        <v>0</v>
      </c>
      <c r="CG28" s="33" t="s">
        <v>56</v>
      </c>
      <c r="CH28" s="33">
        <v>0</v>
      </c>
      <c r="CI28" s="33">
        <v>0</v>
      </c>
      <c r="CJ28" s="33" t="s">
        <v>56</v>
      </c>
      <c r="CK28" s="30">
        <v>0</v>
      </c>
      <c r="CL28" s="30">
        <v>0</v>
      </c>
      <c r="CM28" s="33" t="s">
        <v>56</v>
      </c>
      <c r="CN28" s="30">
        <v>0</v>
      </c>
      <c r="CO28" s="33">
        <v>0</v>
      </c>
      <c r="CP28" s="33" t="s">
        <v>56</v>
      </c>
      <c r="CQ28" s="33">
        <f>210011.58/1000</f>
        <v>210.01157999999998</v>
      </c>
      <c r="CR28" s="33">
        <v>0</v>
      </c>
      <c r="CS28" s="33">
        <v>0</v>
      </c>
      <c r="CT28" s="33">
        <f>104900/1000</f>
        <v>104.9</v>
      </c>
      <c r="CU28" s="33">
        <v>0</v>
      </c>
      <c r="CV28" s="33">
        <v>0</v>
      </c>
      <c r="CW28" s="33">
        <f>4763777/1000</f>
        <v>4763.777</v>
      </c>
      <c r="CX28" s="33">
        <v>0</v>
      </c>
      <c r="CY28" s="33">
        <v>0</v>
      </c>
      <c r="CZ28" s="33">
        <v>0</v>
      </c>
      <c r="DA28" s="33">
        <v>0</v>
      </c>
      <c r="DB28" s="33" t="s">
        <v>56</v>
      </c>
      <c r="DC28" s="33">
        <v>0</v>
      </c>
      <c r="DD28" s="33">
        <v>0</v>
      </c>
      <c r="DE28" s="33" t="s">
        <v>56</v>
      </c>
      <c r="DF28" s="33">
        <v>0</v>
      </c>
      <c r="DG28" s="33">
        <v>0</v>
      </c>
      <c r="DH28" s="33" t="s">
        <v>56</v>
      </c>
      <c r="DI28" s="33">
        <f>13694500/1000</f>
        <v>13694.5</v>
      </c>
      <c r="DJ28" s="33">
        <v>0</v>
      </c>
      <c r="DK28" s="33">
        <v>0</v>
      </c>
      <c r="DL28" s="33">
        <v>0</v>
      </c>
      <c r="DM28" s="33">
        <v>0</v>
      </c>
      <c r="DN28" s="33" t="s">
        <v>56</v>
      </c>
      <c r="DO28" s="33">
        <v>0</v>
      </c>
      <c r="DP28" s="33">
        <v>0</v>
      </c>
      <c r="DQ28" s="33" t="s">
        <v>56</v>
      </c>
      <c r="DR28" s="33">
        <v>0</v>
      </c>
      <c r="DS28" s="33">
        <v>0</v>
      </c>
      <c r="DT28" s="33" t="s">
        <v>56</v>
      </c>
      <c r="DU28" s="33">
        <v>0</v>
      </c>
      <c r="DV28" s="33">
        <v>0</v>
      </c>
      <c r="DW28" s="33" t="s">
        <v>56</v>
      </c>
      <c r="DX28" s="30">
        <v>0</v>
      </c>
      <c r="DY28" s="31">
        <v>0</v>
      </c>
      <c r="DZ28" s="33" t="s">
        <v>56</v>
      </c>
      <c r="EA28" s="30">
        <v>0</v>
      </c>
      <c r="EB28" s="31">
        <v>0</v>
      </c>
      <c r="EC28" s="33" t="s">
        <v>56</v>
      </c>
      <c r="ED28" s="23">
        <f t="shared" si="55"/>
        <v>364694.10000000003</v>
      </c>
      <c r="EE28" s="23">
        <f t="shared" si="56"/>
        <v>75949.939999999988</v>
      </c>
      <c r="EF28" s="24">
        <f t="shared" si="57"/>
        <v>20.825656351446316</v>
      </c>
      <c r="EG28" s="34">
        <f>1963300/1000</f>
        <v>1963.3</v>
      </c>
      <c r="EH28" s="34">
        <v>460</v>
      </c>
      <c r="EI28" s="31">
        <f t="shared" si="26"/>
        <v>23.429939387765497</v>
      </c>
      <c r="EJ28" s="34">
        <f>114200/1000</f>
        <v>114.2</v>
      </c>
      <c r="EK28" s="31">
        <v>0</v>
      </c>
      <c r="EL28" s="31">
        <f t="shared" si="82"/>
        <v>0</v>
      </c>
      <c r="EM28" s="34">
        <v>0</v>
      </c>
      <c r="EN28" s="31">
        <v>0</v>
      </c>
      <c r="EO28" s="31" t="s">
        <v>56</v>
      </c>
      <c r="EP28" s="34">
        <v>133587</v>
      </c>
      <c r="EQ28" s="31">
        <v>15160.882</v>
      </c>
      <c r="ER28" s="31">
        <f t="shared" si="58"/>
        <v>11.349069894525666</v>
      </c>
      <c r="ES28" s="31">
        <v>198336.6</v>
      </c>
      <c r="ET28" s="31">
        <v>54204.6</v>
      </c>
      <c r="EU28" s="36">
        <f t="shared" si="59"/>
        <v>27.329600285575129</v>
      </c>
      <c r="EV28" s="34">
        <f>7862400/1000</f>
        <v>7862.4</v>
      </c>
      <c r="EW28" s="33">
        <v>1898.4</v>
      </c>
      <c r="EX28" s="33">
        <f t="shared" si="60"/>
        <v>24.145299145299148</v>
      </c>
      <c r="EY28" s="34">
        <f>4515700/1000</f>
        <v>4515.7</v>
      </c>
      <c r="EZ28" s="31">
        <v>0</v>
      </c>
      <c r="FA28" s="31">
        <f t="shared" si="30"/>
        <v>0</v>
      </c>
      <c r="FB28" s="34">
        <f>250500/1000</f>
        <v>250.5</v>
      </c>
      <c r="FC28" s="31">
        <v>0</v>
      </c>
      <c r="FD28" s="31">
        <f t="shared" ref="FD28:FD29" si="84">FC28/FB28%</f>
        <v>0</v>
      </c>
      <c r="FE28" s="34">
        <v>0</v>
      </c>
      <c r="FF28" s="31">
        <v>0</v>
      </c>
      <c r="FG28" s="31" t="s">
        <v>56</v>
      </c>
      <c r="FH28" s="34">
        <v>0</v>
      </c>
      <c r="FI28" s="31">
        <v>0</v>
      </c>
      <c r="FJ28" s="31" t="s">
        <v>56</v>
      </c>
      <c r="FK28" s="34">
        <f>227500/1000</f>
        <v>227.5</v>
      </c>
      <c r="FL28" s="31">
        <v>57</v>
      </c>
      <c r="FM28" s="31">
        <f t="shared" si="33"/>
        <v>25.054945054945055</v>
      </c>
      <c r="FN28" s="34">
        <f>4400/1000</f>
        <v>4.4000000000000004</v>
      </c>
      <c r="FO28" s="31">
        <v>0</v>
      </c>
      <c r="FP28" s="31">
        <f t="shared" si="34"/>
        <v>0</v>
      </c>
      <c r="FQ28" s="34">
        <f>95500/1000</f>
        <v>95.5</v>
      </c>
      <c r="FR28" s="31">
        <v>15.9</v>
      </c>
      <c r="FS28" s="31">
        <f t="shared" si="69"/>
        <v>16.649214659685864</v>
      </c>
      <c r="FT28" s="34">
        <v>0</v>
      </c>
      <c r="FU28" s="31">
        <v>0</v>
      </c>
      <c r="FV28" s="31" t="s">
        <v>56</v>
      </c>
      <c r="FW28" s="34">
        <f>591000/1000</f>
        <v>591</v>
      </c>
      <c r="FX28" s="31">
        <f>148301/1000</f>
        <v>148.30099999999999</v>
      </c>
      <c r="FY28" s="31">
        <f t="shared" si="36"/>
        <v>25.093231810490693</v>
      </c>
      <c r="FZ28" s="34">
        <f>419800/1000</f>
        <v>419.8</v>
      </c>
      <c r="GA28" s="31">
        <f>101286/1000</f>
        <v>101.286</v>
      </c>
      <c r="GB28" s="31">
        <f t="shared" si="37"/>
        <v>24.127203430204858</v>
      </c>
      <c r="GC28" s="34">
        <v>0</v>
      </c>
      <c r="GD28" s="31">
        <v>0</v>
      </c>
      <c r="GE28" s="31" t="s">
        <v>56</v>
      </c>
      <c r="GF28" s="35">
        <v>0</v>
      </c>
      <c r="GG28" s="31">
        <v>0</v>
      </c>
      <c r="GH28" s="31" t="s">
        <v>56</v>
      </c>
      <c r="GI28" s="35">
        <v>1718.7</v>
      </c>
      <c r="GJ28" s="31">
        <v>397.75000000000006</v>
      </c>
      <c r="GK28" s="31">
        <f t="shared" si="40"/>
        <v>23.14249141793216</v>
      </c>
      <c r="GL28" s="34">
        <v>0</v>
      </c>
      <c r="GM28" s="34">
        <v>0</v>
      </c>
      <c r="GN28" s="31" t="s">
        <v>56</v>
      </c>
      <c r="GO28" s="34">
        <v>0</v>
      </c>
      <c r="GP28" s="31">
        <v>0</v>
      </c>
      <c r="GQ28" s="31" t="s">
        <v>56</v>
      </c>
      <c r="GR28" s="34">
        <f>663800/1000</f>
        <v>663.8</v>
      </c>
      <c r="GS28" s="31">
        <v>196.2</v>
      </c>
      <c r="GT28" s="31">
        <f>GS28/GR28%</f>
        <v>29.557095510695991</v>
      </c>
      <c r="GU28" s="34">
        <v>0</v>
      </c>
      <c r="GV28" s="31">
        <v>0</v>
      </c>
      <c r="GW28" s="31" t="s">
        <v>56</v>
      </c>
      <c r="GX28" s="34">
        <f>281900/1000</f>
        <v>281.89999999999998</v>
      </c>
      <c r="GY28" s="31">
        <v>0</v>
      </c>
      <c r="GZ28" s="31">
        <v>0</v>
      </c>
      <c r="HA28" s="31">
        <f>(226000+10939800)/1000</f>
        <v>11165.8</v>
      </c>
      <c r="HB28" s="31">
        <f>2585721/1000</f>
        <v>2585.721</v>
      </c>
      <c r="HC28" s="36">
        <f t="shared" si="61"/>
        <v>23.157507746869907</v>
      </c>
      <c r="HD28" s="34">
        <f>2896000/1000</f>
        <v>2896</v>
      </c>
      <c r="HE28" s="31">
        <v>723.9</v>
      </c>
      <c r="HF28" s="31">
        <f t="shared" si="62"/>
        <v>24.996546961325965</v>
      </c>
      <c r="HG28" s="28">
        <f t="shared" si="63"/>
        <v>7279.03</v>
      </c>
      <c r="HH28" s="28">
        <f t="shared" si="64"/>
        <v>0</v>
      </c>
      <c r="HI28" s="26">
        <f t="shared" si="46"/>
        <v>0</v>
      </c>
      <c r="HJ28" s="37">
        <v>0</v>
      </c>
      <c r="HK28" s="37">
        <v>0</v>
      </c>
      <c r="HL28" s="37" t="s">
        <v>56</v>
      </c>
      <c r="HM28" s="33">
        <v>0</v>
      </c>
      <c r="HN28" s="33">
        <v>0</v>
      </c>
      <c r="HO28" s="33" t="s">
        <v>56</v>
      </c>
      <c r="HP28" s="33">
        <f>6406200/1000</f>
        <v>6406.2</v>
      </c>
      <c r="HQ28" s="37">
        <v>0</v>
      </c>
      <c r="HR28" s="37">
        <v>0</v>
      </c>
      <c r="HS28" s="37">
        <v>0</v>
      </c>
      <c r="HT28" s="37">
        <v>0</v>
      </c>
      <c r="HU28" s="37" t="s">
        <v>56</v>
      </c>
      <c r="HV28" s="30">
        <v>0</v>
      </c>
      <c r="HW28" s="31">
        <v>0</v>
      </c>
      <c r="HX28" s="31" t="s">
        <v>56</v>
      </c>
      <c r="HY28" s="30">
        <v>0</v>
      </c>
      <c r="HZ28" s="31">
        <v>0</v>
      </c>
      <c r="IA28" s="31" t="s">
        <v>56</v>
      </c>
      <c r="IB28" s="31">
        <v>0</v>
      </c>
      <c r="IC28" s="31">
        <v>0</v>
      </c>
      <c r="ID28" s="31" t="s">
        <v>56</v>
      </c>
      <c r="IE28" s="31">
        <v>0</v>
      </c>
      <c r="IF28" s="31">
        <v>0</v>
      </c>
      <c r="IG28" s="31" t="s">
        <v>56</v>
      </c>
      <c r="IH28" s="31">
        <v>0</v>
      </c>
      <c r="II28" s="31">
        <v>0</v>
      </c>
      <c r="IJ28" s="31" t="s">
        <v>56</v>
      </c>
      <c r="IK28" s="31">
        <f>872830/1000</f>
        <v>872.83</v>
      </c>
      <c r="IL28" s="31">
        <v>0</v>
      </c>
      <c r="IM28" s="31">
        <v>0</v>
      </c>
      <c r="IN28" s="31">
        <v>0</v>
      </c>
      <c r="IO28" s="31">
        <v>0</v>
      </c>
      <c r="IP28" s="31" t="s">
        <v>56</v>
      </c>
      <c r="IQ28" s="31">
        <v>0</v>
      </c>
      <c r="IR28" s="31">
        <v>0</v>
      </c>
      <c r="IS28" s="31" t="s">
        <v>56</v>
      </c>
      <c r="IT28" s="11">
        <f t="shared" si="65"/>
        <v>547437.51948000002</v>
      </c>
      <c r="IU28" s="10">
        <f t="shared" si="66"/>
        <v>118449.93999999999</v>
      </c>
      <c r="IV28" s="10">
        <f t="shared" si="67"/>
        <v>21.637161463195511</v>
      </c>
      <c r="IW28" s="16"/>
      <c r="IX28" s="16"/>
      <c r="IZ28" s="18"/>
    </row>
    <row r="29" spans="1:260" ht="21" customHeight="1" x14ac:dyDescent="0.2">
      <c r="A29" s="13" t="s">
        <v>32</v>
      </c>
      <c r="B29" s="23">
        <f t="shared" si="47"/>
        <v>165871</v>
      </c>
      <c r="C29" s="23">
        <f t="shared" si="48"/>
        <v>48961.4</v>
      </c>
      <c r="D29" s="24">
        <f t="shared" si="49"/>
        <v>29.517757775620812</v>
      </c>
      <c r="E29" s="30">
        <v>165871</v>
      </c>
      <c r="F29" s="31">
        <v>48961.4</v>
      </c>
      <c r="G29" s="31">
        <f t="shared" si="50"/>
        <v>29.517757775620812</v>
      </c>
      <c r="H29" s="30">
        <v>0</v>
      </c>
      <c r="I29" s="30">
        <v>0</v>
      </c>
      <c r="J29" s="31" t="s">
        <v>56</v>
      </c>
      <c r="K29" s="31">
        <v>0</v>
      </c>
      <c r="L29" s="31">
        <v>0</v>
      </c>
      <c r="M29" s="31" t="s">
        <v>56</v>
      </c>
      <c r="N29" s="23">
        <f t="shared" si="51"/>
        <v>94744.951670000009</v>
      </c>
      <c r="O29" s="23">
        <f t="shared" si="52"/>
        <v>105.1</v>
      </c>
      <c r="P29" s="24">
        <f t="shared" si="53"/>
        <v>0.11092939322621324</v>
      </c>
      <c r="Q29" s="31">
        <f>14222040/1000</f>
        <v>14222.04</v>
      </c>
      <c r="R29" s="31">
        <v>0</v>
      </c>
      <c r="S29" s="31">
        <f t="shared" si="68"/>
        <v>0</v>
      </c>
      <c r="T29" s="30">
        <v>0</v>
      </c>
      <c r="U29" s="31">
        <v>0</v>
      </c>
      <c r="V29" s="31" t="s">
        <v>56</v>
      </c>
      <c r="W29" s="30">
        <v>2800</v>
      </c>
      <c r="X29" s="31">
        <v>0</v>
      </c>
      <c r="Y29" s="31">
        <f t="shared" ref="Y29" si="85">X29/W29%</f>
        <v>0</v>
      </c>
      <c r="Z29" s="30">
        <v>0</v>
      </c>
      <c r="AA29" s="31">
        <v>0</v>
      </c>
      <c r="AB29" s="31" t="s">
        <v>56</v>
      </c>
      <c r="AC29" s="30">
        <v>0</v>
      </c>
      <c r="AD29" s="31">
        <v>0</v>
      </c>
      <c r="AE29" s="31" t="s">
        <v>56</v>
      </c>
      <c r="AF29" s="30">
        <v>0</v>
      </c>
      <c r="AG29" s="31">
        <v>0</v>
      </c>
      <c r="AH29" s="31" t="s">
        <v>56</v>
      </c>
      <c r="AI29" s="30">
        <v>0</v>
      </c>
      <c r="AJ29" s="30">
        <v>0</v>
      </c>
      <c r="AK29" s="31" t="s">
        <v>56</v>
      </c>
      <c r="AL29" s="31">
        <f>3218500/1000</f>
        <v>3218.5</v>
      </c>
      <c r="AM29" s="31">
        <v>0</v>
      </c>
      <c r="AN29" s="31">
        <v>0</v>
      </c>
      <c r="AO29" s="31">
        <v>0</v>
      </c>
      <c r="AP29" s="31">
        <v>0</v>
      </c>
      <c r="AQ29" s="31" t="s">
        <v>56</v>
      </c>
      <c r="AR29" s="31">
        <v>0</v>
      </c>
      <c r="AS29" s="31">
        <v>0</v>
      </c>
      <c r="AT29" s="31" t="s">
        <v>56</v>
      </c>
      <c r="AU29" s="30">
        <f>1782880.9/1000</f>
        <v>1782.8808999999999</v>
      </c>
      <c r="AV29" s="31">
        <v>0</v>
      </c>
      <c r="AW29" s="31">
        <f>AV29/AU29%</f>
        <v>0</v>
      </c>
      <c r="AX29" s="30">
        <v>0</v>
      </c>
      <c r="AY29" s="31">
        <v>0</v>
      </c>
      <c r="AZ29" s="31" t="s">
        <v>56</v>
      </c>
      <c r="BA29" s="30">
        <v>0</v>
      </c>
      <c r="BB29" s="31">
        <v>0</v>
      </c>
      <c r="BC29" s="31" t="s">
        <v>56</v>
      </c>
      <c r="BD29" s="30">
        <f>111838.03/1000</f>
        <v>111.83803</v>
      </c>
      <c r="BE29" s="31">
        <v>0</v>
      </c>
      <c r="BF29" s="31">
        <v>0</v>
      </c>
      <c r="BG29" s="30">
        <v>0</v>
      </c>
      <c r="BH29" s="31">
        <v>0</v>
      </c>
      <c r="BI29" s="31" t="s">
        <v>56</v>
      </c>
      <c r="BJ29" s="30">
        <v>0</v>
      </c>
      <c r="BK29" s="31">
        <v>0</v>
      </c>
      <c r="BL29" s="31" t="s">
        <v>56</v>
      </c>
      <c r="BM29" s="30">
        <v>0</v>
      </c>
      <c r="BN29" s="31">
        <v>0</v>
      </c>
      <c r="BO29" s="31" t="s">
        <v>56</v>
      </c>
      <c r="BP29" s="30">
        <v>0</v>
      </c>
      <c r="BQ29" s="31">
        <v>0</v>
      </c>
      <c r="BR29" s="31" t="s">
        <v>56</v>
      </c>
      <c r="BS29" s="30">
        <v>0</v>
      </c>
      <c r="BT29" s="31">
        <v>0</v>
      </c>
      <c r="BU29" s="31" t="s">
        <v>56</v>
      </c>
      <c r="BV29" s="31">
        <v>0</v>
      </c>
      <c r="BW29" s="31">
        <v>0</v>
      </c>
      <c r="BX29" s="31" t="s">
        <v>56</v>
      </c>
      <c r="BY29" s="31">
        <v>1397.7</v>
      </c>
      <c r="BZ29" s="31">
        <v>105.1</v>
      </c>
      <c r="CA29" s="32">
        <f t="shared" si="54"/>
        <v>7.5194963153752585</v>
      </c>
      <c r="CB29" s="30">
        <v>0</v>
      </c>
      <c r="CC29" s="30">
        <v>0</v>
      </c>
      <c r="CD29" s="33" t="s">
        <v>56</v>
      </c>
      <c r="CE29" s="30">
        <v>0</v>
      </c>
      <c r="CF29" s="30">
        <v>0</v>
      </c>
      <c r="CG29" s="33" t="s">
        <v>56</v>
      </c>
      <c r="CH29" s="33">
        <v>0</v>
      </c>
      <c r="CI29" s="33">
        <v>0</v>
      </c>
      <c r="CJ29" s="33" t="s">
        <v>56</v>
      </c>
      <c r="CK29" s="30">
        <v>0</v>
      </c>
      <c r="CL29" s="30">
        <v>0</v>
      </c>
      <c r="CM29" s="33" t="s">
        <v>56</v>
      </c>
      <c r="CN29" s="30">
        <f>7250357.8/1000</f>
        <v>7250.3577999999998</v>
      </c>
      <c r="CO29" s="33">
        <v>0</v>
      </c>
      <c r="CP29" s="33">
        <v>0</v>
      </c>
      <c r="CQ29" s="33">
        <v>0</v>
      </c>
      <c r="CR29" s="33">
        <v>0</v>
      </c>
      <c r="CS29" s="33" t="s">
        <v>56</v>
      </c>
      <c r="CT29" s="33">
        <f>145500/1000</f>
        <v>145.5</v>
      </c>
      <c r="CU29" s="33">
        <v>0</v>
      </c>
      <c r="CV29" s="33">
        <v>0</v>
      </c>
      <c r="CW29" s="33">
        <f>7876315/1000</f>
        <v>7876.3149999999996</v>
      </c>
      <c r="CX29" s="33">
        <v>0</v>
      </c>
      <c r="CY29" s="33">
        <v>0</v>
      </c>
      <c r="CZ29" s="33">
        <f>2035724/1000</f>
        <v>2035.7239999999999</v>
      </c>
      <c r="DA29" s="33">
        <v>0</v>
      </c>
      <c r="DB29" s="33">
        <f t="shared" si="71"/>
        <v>0</v>
      </c>
      <c r="DC29" s="33">
        <f>44436495.94/1000</f>
        <v>44436.495940000001</v>
      </c>
      <c r="DD29" s="33">
        <v>0</v>
      </c>
      <c r="DE29" s="33">
        <v>0</v>
      </c>
      <c r="DF29" s="33">
        <v>0</v>
      </c>
      <c r="DG29" s="33">
        <v>0</v>
      </c>
      <c r="DH29" s="33" t="s">
        <v>56</v>
      </c>
      <c r="DI29" s="33">
        <f>5382300/1000</f>
        <v>5382.3</v>
      </c>
      <c r="DJ29" s="33">
        <v>0</v>
      </c>
      <c r="DK29" s="33">
        <v>0</v>
      </c>
      <c r="DL29" s="33">
        <f>100000/1000</f>
        <v>100</v>
      </c>
      <c r="DM29" s="33">
        <v>0</v>
      </c>
      <c r="DN29" s="33">
        <v>0</v>
      </c>
      <c r="DO29" s="33">
        <v>0</v>
      </c>
      <c r="DP29" s="33">
        <v>0</v>
      </c>
      <c r="DQ29" s="33" t="s">
        <v>56</v>
      </c>
      <c r="DR29" s="33">
        <f>3985300/1000</f>
        <v>3985.3</v>
      </c>
      <c r="DS29" s="33">
        <v>0</v>
      </c>
      <c r="DT29" s="33">
        <f t="shared" si="72"/>
        <v>0</v>
      </c>
      <c r="DU29" s="33">
        <v>0</v>
      </c>
      <c r="DV29" s="33">
        <v>0</v>
      </c>
      <c r="DW29" s="33" t="s">
        <v>56</v>
      </c>
      <c r="DX29" s="30">
        <v>0</v>
      </c>
      <c r="DY29" s="31">
        <v>0</v>
      </c>
      <c r="DZ29" s="33" t="s">
        <v>56</v>
      </c>
      <c r="EA29" s="30">
        <v>0</v>
      </c>
      <c r="EB29" s="31">
        <v>0</v>
      </c>
      <c r="EC29" s="33" t="s">
        <v>56</v>
      </c>
      <c r="ED29" s="23">
        <f t="shared" si="55"/>
        <v>340082.49799999991</v>
      </c>
      <c r="EE29" s="23">
        <f t="shared" si="56"/>
        <v>80155.783410000004</v>
      </c>
      <c r="EF29" s="24">
        <f t="shared" si="57"/>
        <v>23.569511480711373</v>
      </c>
      <c r="EG29" s="34">
        <f>2567400/1000</f>
        <v>2567.4</v>
      </c>
      <c r="EH29" s="34">
        <v>757.4</v>
      </c>
      <c r="EI29" s="31">
        <f t="shared" si="26"/>
        <v>29.500662148477058</v>
      </c>
      <c r="EJ29" s="34">
        <f>114200/1000</f>
        <v>114.2</v>
      </c>
      <c r="EK29" s="31">
        <v>0</v>
      </c>
      <c r="EL29" s="31">
        <f t="shared" si="82"/>
        <v>0</v>
      </c>
      <c r="EM29" s="34">
        <f>115/1000</f>
        <v>0.115</v>
      </c>
      <c r="EN29" s="31">
        <v>0</v>
      </c>
      <c r="EO29" s="31">
        <f t="shared" si="29"/>
        <v>0</v>
      </c>
      <c r="EP29" s="34">
        <v>95004.5</v>
      </c>
      <c r="EQ29" s="31">
        <v>23659.565999999999</v>
      </c>
      <c r="ER29" s="31">
        <f t="shared" si="58"/>
        <v>24.903626670315617</v>
      </c>
      <c r="ES29" s="31">
        <v>208867.9</v>
      </c>
      <c r="ET29" s="31">
        <v>49056.5</v>
      </c>
      <c r="EU29" s="36">
        <f t="shared" si="59"/>
        <v>23.486854610019062</v>
      </c>
      <c r="EV29" s="34">
        <f>8684600/1000</f>
        <v>8684.6</v>
      </c>
      <c r="EW29" s="33">
        <v>2130.6</v>
      </c>
      <c r="EX29" s="33">
        <f t="shared" si="60"/>
        <v>24.533081546645786</v>
      </c>
      <c r="EY29" s="34">
        <f>3483600/1000</f>
        <v>3483.6</v>
      </c>
      <c r="EZ29" s="31">
        <v>0</v>
      </c>
      <c r="FA29" s="31">
        <f t="shared" si="30"/>
        <v>0</v>
      </c>
      <c r="FB29" s="34">
        <f>171300/1000</f>
        <v>171.3</v>
      </c>
      <c r="FC29" s="31">
        <v>0</v>
      </c>
      <c r="FD29" s="31">
        <f t="shared" si="84"/>
        <v>0</v>
      </c>
      <c r="FE29" s="34">
        <f>217500/1000</f>
        <v>217.5</v>
      </c>
      <c r="FF29" s="31">
        <f>44917.61/1000</f>
        <v>44.917610000000003</v>
      </c>
      <c r="FG29" s="31">
        <f t="shared" si="77"/>
        <v>20.651774712643682</v>
      </c>
      <c r="FH29" s="34">
        <f>694583/1000</f>
        <v>694.58299999999997</v>
      </c>
      <c r="FI29" s="31">
        <f>74012.5/1000</f>
        <v>74.012500000000003</v>
      </c>
      <c r="FJ29" s="31">
        <f t="shared" si="31"/>
        <v>10.655673979927526</v>
      </c>
      <c r="FK29" s="34">
        <f>245000/1000</f>
        <v>245</v>
      </c>
      <c r="FL29" s="31">
        <v>61.2</v>
      </c>
      <c r="FM29" s="31">
        <f t="shared" si="33"/>
        <v>24.979591836734695</v>
      </c>
      <c r="FN29" s="34">
        <f>800/1000</f>
        <v>0.8</v>
      </c>
      <c r="FO29" s="31">
        <v>0</v>
      </c>
      <c r="FP29" s="31">
        <f t="shared" si="34"/>
        <v>0</v>
      </c>
      <c r="FQ29" s="34">
        <f>95500/1000</f>
        <v>95.5</v>
      </c>
      <c r="FR29" s="31">
        <v>24</v>
      </c>
      <c r="FS29" s="31">
        <f t="shared" si="69"/>
        <v>25.130890052356023</v>
      </c>
      <c r="FT29" s="34">
        <v>0</v>
      </c>
      <c r="FU29" s="31">
        <v>0</v>
      </c>
      <c r="FV29" s="31" t="s">
        <v>56</v>
      </c>
      <c r="FW29" s="34">
        <f>622300/1000</f>
        <v>622.29999999999995</v>
      </c>
      <c r="FX29" s="31">
        <f>111549/1000</f>
        <v>111.54900000000001</v>
      </c>
      <c r="FY29" s="31">
        <f t="shared" si="36"/>
        <v>17.925277197493173</v>
      </c>
      <c r="FZ29" s="34">
        <f>419800/1000</f>
        <v>419.8</v>
      </c>
      <c r="GA29" s="31">
        <f>103993.86/1000</f>
        <v>103.99386</v>
      </c>
      <c r="GB29" s="31">
        <f t="shared" si="37"/>
        <v>24.772239161505475</v>
      </c>
      <c r="GC29" s="34">
        <v>0</v>
      </c>
      <c r="GD29" s="31">
        <v>0</v>
      </c>
      <c r="GE29" s="31" t="s">
        <v>56</v>
      </c>
      <c r="GF29" s="35">
        <v>0</v>
      </c>
      <c r="GG29" s="31">
        <v>0</v>
      </c>
      <c r="GH29" s="31" t="s">
        <v>56</v>
      </c>
      <c r="GI29" s="35">
        <v>1932.4</v>
      </c>
      <c r="GJ29" s="31">
        <v>410.81074999999998</v>
      </c>
      <c r="GK29" s="31">
        <f t="shared" si="40"/>
        <v>21.259094907886563</v>
      </c>
      <c r="GL29" s="34">
        <v>0</v>
      </c>
      <c r="GM29" s="34">
        <v>0</v>
      </c>
      <c r="GN29" s="31" t="s">
        <v>56</v>
      </c>
      <c r="GO29" s="34">
        <f>179400/1000</f>
        <v>179.4</v>
      </c>
      <c r="GP29" s="31">
        <f>44862/1000</f>
        <v>44.862000000000002</v>
      </c>
      <c r="GQ29" s="31">
        <f t="shared" si="83"/>
        <v>25.006688963210703</v>
      </c>
      <c r="GR29" s="34">
        <f>1622000/1000</f>
        <v>1622</v>
      </c>
      <c r="GS29" s="31">
        <v>246</v>
      </c>
      <c r="GT29" s="31">
        <f>GS29/GR29%</f>
        <v>15.166461159062887</v>
      </c>
      <c r="GU29" s="34">
        <v>0</v>
      </c>
      <c r="GV29" s="31">
        <v>0</v>
      </c>
      <c r="GW29" s="31" t="s">
        <v>56</v>
      </c>
      <c r="GX29" s="34">
        <f>364100/1000</f>
        <v>364.1</v>
      </c>
      <c r="GY29" s="31">
        <v>0</v>
      </c>
      <c r="GZ29" s="31">
        <v>0</v>
      </c>
      <c r="HA29" s="31">
        <f>(263900+11352600)/1000</f>
        <v>11616.5</v>
      </c>
      <c r="HB29" s="31">
        <f>2635671.69/1000</f>
        <v>2635.6716900000001</v>
      </c>
      <c r="HC29" s="36">
        <f t="shared" si="61"/>
        <v>22.689034476821764</v>
      </c>
      <c r="HD29" s="34">
        <f>3179000/1000</f>
        <v>3179</v>
      </c>
      <c r="HE29" s="31">
        <v>794.7</v>
      </c>
      <c r="HF29" s="31">
        <f t="shared" si="62"/>
        <v>24.998427178357975</v>
      </c>
      <c r="HG29" s="28">
        <f t="shared" si="63"/>
        <v>17023.80816</v>
      </c>
      <c r="HH29" s="28">
        <f t="shared" si="64"/>
        <v>0</v>
      </c>
      <c r="HI29" s="26">
        <f t="shared" si="46"/>
        <v>0</v>
      </c>
      <c r="HJ29" s="37">
        <v>0</v>
      </c>
      <c r="HK29" s="37">
        <v>0</v>
      </c>
      <c r="HL29" s="37" t="s">
        <v>56</v>
      </c>
      <c r="HM29" s="33">
        <v>0</v>
      </c>
      <c r="HN29" s="33">
        <v>0</v>
      </c>
      <c r="HO29" s="33" t="s">
        <v>56</v>
      </c>
      <c r="HP29" s="33">
        <f>7003400/1000</f>
        <v>7003.4</v>
      </c>
      <c r="HQ29" s="37">
        <v>0</v>
      </c>
      <c r="HR29" s="37">
        <v>0</v>
      </c>
      <c r="HS29" s="37">
        <v>0</v>
      </c>
      <c r="HT29" s="37">
        <v>0</v>
      </c>
      <c r="HU29" s="37" t="s">
        <v>56</v>
      </c>
      <c r="HV29" s="30">
        <f>8910000/1000</f>
        <v>8910</v>
      </c>
      <c r="HW29" s="31">
        <v>0</v>
      </c>
      <c r="HX29" s="31">
        <v>0</v>
      </c>
      <c r="HY29" s="30">
        <v>0</v>
      </c>
      <c r="HZ29" s="31">
        <v>0</v>
      </c>
      <c r="IA29" s="31" t="s">
        <v>56</v>
      </c>
      <c r="IB29" s="31">
        <v>0</v>
      </c>
      <c r="IC29" s="31">
        <v>0</v>
      </c>
      <c r="ID29" s="31" t="s">
        <v>56</v>
      </c>
      <c r="IE29" s="31">
        <f>90000/1000</f>
        <v>90</v>
      </c>
      <c r="IF29" s="31">
        <v>0</v>
      </c>
      <c r="IG29" s="31">
        <v>0</v>
      </c>
      <c r="IH29" s="31">
        <v>0</v>
      </c>
      <c r="II29" s="31">
        <v>0</v>
      </c>
      <c r="IJ29" s="31" t="s">
        <v>56</v>
      </c>
      <c r="IK29" s="31">
        <v>0</v>
      </c>
      <c r="IL29" s="31">
        <v>0</v>
      </c>
      <c r="IM29" s="31" t="s">
        <v>56</v>
      </c>
      <c r="IN29" s="31">
        <f>1020408.16/1000</f>
        <v>1020.4081600000001</v>
      </c>
      <c r="IO29" s="31">
        <v>0</v>
      </c>
      <c r="IP29" s="31">
        <v>0</v>
      </c>
      <c r="IQ29" s="31">
        <v>0</v>
      </c>
      <c r="IR29" s="31">
        <v>0</v>
      </c>
      <c r="IS29" s="31" t="s">
        <v>56</v>
      </c>
      <c r="IT29" s="11">
        <f t="shared" si="65"/>
        <v>617722.2578299999</v>
      </c>
      <c r="IU29" s="10">
        <f t="shared" si="66"/>
        <v>129222.28341</v>
      </c>
      <c r="IV29" s="10">
        <f t="shared" si="67"/>
        <v>20.919156104872393</v>
      </c>
      <c r="IW29" s="16"/>
      <c r="IX29" s="16"/>
      <c r="IZ29" s="18"/>
    </row>
    <row r="30" spans="1:260" ht="16.5" customHeight="1" x14ac:dyDescent="0.2">
      <c r="A30" s="13" t="s">
        <v>33</v>
      </c>
      <c r="B30" s="23">
        <f t="shared" si="47"/>
        <v>36312</v>
      </c>
      <c r="C30" s="23">
        <f t="shared" si="48"/>
        <v>13768.2</v>
      </c>
      <c r="D30" s="24">
        <f t="shared" si="49"/>
        <v>37.916391275611375</v>
      </c>
      <c r="E30" s="30">
        <v>36312</v>
      </c>
      <c r="F30" s="31">
        <v>13768.2</v>
      </c>
      <c r="G30" s="31">
        <f t="shared" si="50"/>
        <v>37.916391275611375</v>
      </c>
      <c r="H30" s="30">
        <v>0</v>
      </c>
      <c r="I30" s="30">
        <v>0</v>
      </c>
      <c r="J30" s="31" t="s">
        <v>56</v>
      </c>
      <c r="K30" s="31">
        <v>0</v>
      </c>
      <c r="L30" s="31">
        <v>0</v>
      </c>
      <c r="M30" s="31" t="s">
        <v>56</v>
      </c>
      <c r="N30" s="23">
        <f t="shared" si="51"/>
        <v>37700.995309999998</v>
      </c>
      <c r="O30" s="23">
        <f t="shared" si="52"/>
        <v>0</v>
      </c>
      <c r="P30" s="24">
        <f t="shared" si="53"/>
        <v>0</v>
      </c>
      <c r="Q30" s="31">
        <f>4063440/1000</f>
        <v>4063.44</v>
      </c>
      <c r="R30" s="31">
        <v>0</v>
      </c>
      <c r="S30" s="31">
        <f t="shared" si="68"/>
        <v>0</v>
      </c>
      <c r="T30" s="30">
        <v>0</v>
      </c>
      <c r="U30" s="31">
        <v>0</v>
      </c>
      <c r="V30" s="31" t="s">
        <v>56</v>
      </c>
      <c r="W30" s="30">
        <v>0</v>
      </c>
      <c r="X30" s="31">
        <v>0</v>
      </c>
      <c r="Y30" s="31" t="s">
        <v>56</v>
      </c>
      <c r="Z30" s="30">
        <v>0</v>
      </c>
      <c r="AA30" s="31">
        <v>0</v>
      </c>
      <c r="AB30" s="31" t="s">
        <v>56</v>
      </c>
      <c r="AC30" s="30">
        <v>0</v>
      </c>
      <c r="AD30" s="31">
        <v>0</v>
      </c>
      <c r="AE30" s="31" t="s">
        <v>56</v>
      </c>
      <c r="AF30" s="30">
        <v>0</v>
      </c>
      <c r="AG30" s="31">
        <v>0</v>
      </c>
      <c r="AH30" s="31" t="s">
        <v>56</v>
      </c>
      <c r="AI30" s="30">
        <v>0</v>
      </c>
      <c r="AJ30" s="30">
        <v>0</v>
      </c>
      <c r="AK30" s="31" t="s">
        <v>56</v>
      </c>
      <c r="AL30" s="31">
        <f>584300/1000</f>
        <v>584.29999999999995</v>
      </c>
      <c r="AM30" s="31">
        <v>0</v>
      </c>
      <c r="AN30" s="31">
        <v>0</v>
      </c>
      <c r="AO30" s="31">
        <v>0</v>
      </c>
      <c r="AP30" s="31">
        <v>0</v>
      </c>
      <c r="AQ30" s="31" t="s">
        <v>56</v>
      </c>
      <c r="AR30" s="31">
        <v>0</v>
      </c>
      <c r="AS30" s="31">
        <v>0</v>
      </c>
      <c r="AT30" s="31" t="s">
        <v>56</v>
      </c>
      <c r="AU30" s="30">
        <f>445379.85/1000</f>
        <v>445.37984999999998</v>
      </c>
      <c r="AV30" s="31">
        <v>0</v>
      </c>
      <c r="AW30" s="31">
        <v>0</v>
      </c>
      <c r="AX30" s="30">
        <v>0</v>
      </c>
      <c r="AY30" s="31">
        <v>0</v>
      </c>
      <c r="AZ30" s="31" t="s">
        <v>56</v>
      </c>
      <c r="BA30" s="30">
        <v>0</v>
      </c>
      <c r="BB30" s="31">
        <v>0</v>
      </c>
      <c r="BC30" s="31" t="s">
        <v>56</v>
      </c>
      <c r="BD30" s="30">
        <v>0</v>
      </c>
      <c r="BE30" s="31">
        <v>0</v>
      </c>
      <c r="BF30" s="31" t="s">
        <v>56</v>
      </c>
      <c r="BG30" s="30">
        <v>0</v>
      </c>
      <c r="BH30" s="31">
        <v>0</v>
      </c>
      <c r="BI30" s="31" t="s">
        <v>56</v>
      </c>
      <c r="BJ30" s="30">
        <v>0</v>
      </c>
      <c r="BK30" s="31">
        <v>0</v>
      </c>
      <c r="BL30" s="31" t="s">
        <v>56</v>
      </c>
      <c r="BM30" s="30">
        <f>375475.46/1000</f>
        <v>375.47546</v>
      </c>
      <c r="BN30" s="31">
        <v>0</v>
      </c>
      <c r="BO30" s="31">
        <v>0</v>
      </c>
      <c r="BP30" s="30">
        <v>0</v>
      </c>
      <c r="BQ30" s="31">
        <v>0</v>
      </c>
      <c r="BR30" s="31" t="s">
        <v>56</v>
      </c>
      <c r="BS30" s="30">
        <v>0</v>
      </c>
      <c r="BT30" s="31">
        <v>0</v>
      </c>
      <c r="BU30" s="31" t="s">
        <v>56</v>
      </c>
      <c r="BV30" s="31">
        <v>0</v>
      </c>
      <c r="BW30" s="31">
        <v>0</v>
      </c>
      <c r="BX30" s="31" t="s">
        <v>56</v>
      </c>
      <c r="BY30" s="31">
        <v>0</v>
      </c>
      <c r="BZ30" s="31">
        <v>0</v>
      </c>
      <c r="CA30" s="32" t="s">
        <v>56</v>
      </c>
      <c r="CB30" s="30">
        <v>0</v>
      </c>
      <c r="CC30" s="30">
        <v>0</v>
      </c>
      <c r="CD30" s="33" t="s">
        <v>56</v>
      </c>
      <c r="CE30" s="30">
        <v>0</v>
      </c>
      <c r="CF30" s="30">
        <v>0</v>
      </c>
      <c r="CG30" s="33" t="s">
        <v>56</v>
      </c>
      <c r="CH30" s="33">
        <v>0</v>
      </c>
      <c r="CI30" s="33">
        <v>0</v>
      </c>
      <c r="CJ30" s="33" t="s">
        <v>56</v>
      </c>
      <c r="CK30" s="30">
        <v>0</v>
      </c>
      <c r="CL30" s="30">
        <v>0</v>
      </c>
      <c r="CM30" s="33" t="s">
        <v>56</v>
      </c>
      <c r="CN30" s="30">
        <v>0</v>
      </c>
      <c r="CO30" s="33">
        <v>0</v>
      </c>
      <c r="CP30" s="33" t="s">
        <v>56</v>
      </c>
      <c r="CQ30" s="33">
        <v>0</v>
      </c>
      <c r="CR30" s="33">
        <v>0</v>
      </c>
      <c r="CS30" s="33" t="s">
        <v>56</v>
      </c>
      <c r="CT30" s="33">
        <v>0</v>
      </c>
      <c r="CU30" s="33">
        <v>0</v>
      </c>
      <c r="CV30" s="33" t="s">
        <v>56</v>
      </c>
      <c r="CW30" s="33">
        <v>0</v>
      </c>
      <c r="CX30" s="33">
        <v>0</v>
      </c>
      <c r="CY30" s="33" t="s">
        <v>56</v>
      </c>
      <c r="CZ30" s="33">
        <v>0</v>
      </c>
      <c r="DA30" s="33">
        <v>0</v>
      </c>
      <c r="DB30" s="33" t="s">
        <v>56</v>
      </c>
      <c r="DC30" s="33">
        <v>0</v>
      </c>
      <c r="DD30" s="33">
        <v>0</v>
      </c>
      <c r="DE30" s="33" t="s">
        <v>56</v>
      </c>
      <c r="DF30" s="33">
        <v>0</v>
      </c>
      <c r="DG30" s="33">
        <v>0</v>
      </c>
      <c r="DH30" s="33" t="s">
        <v>56</v>
      </c>
      <c r="DI30" s="33">
        <f>32232400/1000</f>
        <v>32232.400000000001</v>
      </c>
      <c r="DJ30" s="33">
        <v>0</v>
      </c>
      <c r="DK30" s="33">
        <v>0</v>
      </c>
      <c r="DL30" s="33">
        <v>0</v>
      </c>
      <c r="DM30" s="33">
        <v>0</v>
      </c>
      <c r="DN30" s="33" t="s">
        <v>56</v>
      </c>
      <c r="DO30" s="33">
        <v>0</v>
      </c>
      <c r="DP30" s="33">
        <v>0</v>
      </c>
      <c r="DQ30" s="33" t="s">
        <v>56</v>
      </c>
      <c r="DR30" s="33">
        <v>0</v>
      </c>
      <c r="DS30" s="33">
        <v>0</v>
      </c>
      <c r="DT30" s="33" t="s">
        <v>56</v>
      </c>
      <c r="DU30" s="33">
        <v>0</v>
      </c>
      <c r="DV30" s="33">
        <v>0</v>
      </c>
      <c r="DW30" s="33" t="s">
        <v>56</v>
      </c>
      <c r="DX30" s="30">
        <v>0</v>
      </c>
      <c r="DY30" s="31">
        <v>0</v>
      </c>
      <c r="DZ30" s="33" t="s">
        <v>56</v>
      </c>
      <c r="EA30" s="30">
        <v>0</v>
      </c>
      <c r="EB30" s="31">
        <v>0</v>
      </c>
      <c r="EC30" s="33" t="s">
        <v>56</v>
      </c>
      <c r="ED30" s="23">
        <f t="shared" si="55"/>
        <v>27304.9712</v>
      </c>
      <c r="EE30" s="23">
        <f t="shared" si="56"/>
        <v>7672.6990400000004</v>
      </c>
      <c r="EF30" s="24">
        <f t="shared" si="57"/>
        <v>28.100007811031862</v>
      </c>
      <c r="EG30" s="34">
        <f>175900/1000</f>
        <v>175.9</v>
      </c>
      <c r="EH30" s="34">
        <f>43973.76/1000</f>
        <v>43.973759999999999</v>
      </c>
      <c r="EI30" s="31">
        <f t="shared" si="26"/>
        <v>24.999295054007955</v>
      </c>
      <c r="EJ30" s="34">
        <v>0</v>
      </c>
      <c r="EK30" s="31">
        <v>0</v>
      </c>
      <c r="EL30" s="31" t="s">
        <v>56</v>
      </c>
      <c r="EM30" s="34">
        <v>0</v>
      </c>
      <c r="EN30" s="31">
        <v>0</v>
      </c>
      <c r="EO30" s="31" t="s">
        <v>56</v>
      </c>
      <c r="EP30" s="34">
        <v>12691.5</v>
      </c>
      <c r="EQ30" s="31">
        <v>2830.21</v>
      </c>
      <c r="ER30" s="31">
        <f t="shared" si="58"/>
        <v>22.300043336091083</v>
      </c>
      <c r="ES30" s="31">
        <v>11826.9</v>
      </c>
      <c r="ET30" s="31">
        <v>4237</v>
      </c>
      <c r="EU30" s="36">
        <f t="shared" si="59"/>
        <v>35.825110553061243</v>
      </c>
      <c r="EV30" s="34">
        <f>699300/1000</f>
        <v>699.3</v>
      </c>
      <c r="EW30" s="33">
        <v>213.2</v>
      </c>
      <c r="EX30" s="33">
        <f t="shared" si="60"/>
        <v>30.48763048763049</v>
      </c>
      <c r="EY30" s="34">
        <f>125100/1000</f>
        <v>125.1</v>
      </c>
      <c r="EZ30" s="31">
        <v>0</v>
      </c>
      <c r="FA30" s="31">
        <f t="shared" si="30"/>
        <v>0</v>
      </c>
      <c r="FB30" s="34">
        <v>0</v>
      </c>
      <c r="FC30" s="31">
        <v>0</v>
      </c>
      <c r="FD30" s="31" t="s">
        <v>56</v>
      </c>
      <c r="FE30" s="34">
        <f>31200/1000</f>
        <v>31.2</v>
      </c>
      <c r="FF30" s="31">
        <v>0</v>
      </c>
      <c r="FG30" s="31">
        <v>0</v>
      </c>
      <c r="FH30" s="34">
        <v>0</v>
      </c>
      <c r="FI30" s="31">
        <v>0</v>
      </c>
      <c r="FJ30" s="31" t="s">
        <v>56</v>
      </c>
      <c r="FK30" s="34">
        <f>35000/1000</f>
        <v>35</v>
      </c>
      <c r="FL30" s="31">
        <v>8.6999999999999993</v>
      </c>
      <c r="FM30" s="31">
        <f t="shared" si="33"/>
        <v>24.857142857142858</v>
      </c>
      <c r="FN30" s="34">
        <f>300/1000</f>
        <v>0.3</v>
      </c>
      <c r="FO30" s="31">
        <v>0</v>
      </c>
      <c r="FP30" s="31">
        <f t="shared" si="34"/>
        <v>0</v>
      </c>
      <c r="FQ30" s="34">
        <f>31800/1000</f>
        <v>31.8</v>
      </c>
      <c r="FR30" s="31">
        <v>8.1</v>
      </c>
      <c r="FS30" s="31">
        <f t="shared" si="69"/>
        <v>25.471698113207545</v>
      </c>
      <c r="FT30" s="34">
        <v>0</v>
      </c>
      <c r="FU30" s="31">
        <v>0</v>
      </c>
      <c r="FV30" s="31" t="s">
        <v>56</v>
      </c>
      <c r="FW30" s="34">
        <f>584000/1000</f>
        <v>584</v>
      </c>
      <c r="FX30" s="31">
        <f>105259/1000</f>
        <v>105.259</v>
      </c>
      <c r="FY30" s="31">
        <f t="shared" si="36"/>
        <v>18.023801369863016</v>
      </c>
      <c r="FZ30" s="34">
        <f>137400/1000</f>
        <v>137.4</v>
      </c>
      <c r="GA30" s="31">
        <v>37.200000000000003</v>
      </c>
      <c r="GB30" s="31">
        <f t="shared" si="37"/>
        <v>27.074235807860262</v>
      </c>
      <c r="GC30" s="34">
        <f>75171.2/1000</f>
        <v>75.171199999999999</v>
      </c>
      <c r="GD30" s="31">
        <f>18792/1000</f>
        <v>18.792000000000002</v>
      </c>
      <c r="GE30" s="31">
        <f t="shared" si="78"/>
        <v>24.998935762632502</v>
      </c>
      <c r="GF30" s="35">
        <v>0</v>
      </c>
      <c r="GG30" s="31">
        <v>0</v>
      </c>
      <c r="GH30" s="31" t="s">
        <v>56</v>
      </c>
      <c r="GI30" s="35">
        <v>314.39999999999998</v>
      </c>
      <c r="GJ30" s="31">
        <v>64.729140000000001</v>
      </c>
      <c r="GK30" s="31">
        <f t="shared" si="40"/>
        <v>20.588148854961833</v>
      </c>
      <c r="GL30" s="34">
        <v>0</v>
      </c>
      <c r="GM30" s="34">
        <v>0</v>
      </c>
      <c r="GN30" s="31" t="s">
        <v>56</v>
      </c>
      <c r="GO30" s="34">
        <v>0</v>
      </c>
      <c r="GP30" s="31">
        <v>0</v>
      </c>
      <c r="GQ30" s="31" t="s">
        <v>56</v>
      </c>
      <c r="GR30" s="34">
        <f>146200/1000</f>
        <v>146.19999999999999</v>
      </c>
      <c r="GS30" s="31">
        <v>30</v>
      </c>
      <c r="GT30" s="31">
        <f>GS30/GR30%</f>
        <v>20.51983584131327</v>
      </c>
      <c r="GU30" s="34">
        <v>0</v>
      </c>
      <c r="GV30" s="31">
        <v>0</v>
      </c>
      <c r="GW30" s="31" t="s">
        <v>56</v>
      </c>
      <c r="GX30" s="34">
        <f>68200/1000</f>
        <v>68.2</v>
      </c>
      <c r="GY30" s="31">
        <v>0</v>
      </c>
      <c r="GZ30" s="31">
        <v>0</v>
      </c>
      <c r="HA30" s="31">
        <f>190600/1000</f>
        <v>190.6</v>
      </c>
      <c r="HB30" s="31">
        <f>46935.14/1000</f>
        <v>46.935139999999997</v>
      </c>
      <c r="HC30" s="36">
        <f t="shared" si="61"/>
        <v>24.624942287513115</v>
      </c>
      <c r="HD30" s="34">
        <f>172000/1000</f>
        <v>172</v>
      </c>
      <c r="HE30" s="31">
        <v>28.6</v>
      </c>
      <c r="HF30" s="31">
        <f t="shared" si="62"/>
        <v>16.627906976744185</v>
      </c>
      <c r="HG30" s="28">
        <f t="shared" si="63"/>
        <v>438.4</v>
      </c>
      <c r="HH30" s="28">
        <f t="shared" si="64"/>
        <v>0</v>
      </c>
      <c r="HI30" s="26">
        <f t="shared" si="46"/>
        <v>0</v>
      </c>
      <c r="HJ30" s="37">
        <v>0</v>
      </c>
      <c r="HK30" s="37">
        <v>0</v>
      </c>
      <c r="HL30" s="37" t="s">
        <v>56</v>
      </c>
      <c r="HM30" s="33">
        <v>0</v>
      </c>
      <c r="HN30" s="33">
        <v>0</v>
      </c>
      <c r="HO30" s="33" t="s">
        <v>56</v>
      </c>
      <c r="HP30" s="33">
        <f>438400/1000</f>
        <v>438.4</v>
      </c>
      <c r="HQ30" s="37">
        <v>0</v>
      </c>
      <c r="HR30" s="37">
        <v>0</v>
      </c>
      <c r="HS30" s="37">
        <v>0</v>
      </c>
      <c r="HT30" s="37">
        <v>0</v>
      </c>
      <c r="HU30" s="37" t="s">
        <v>56</v>
      </c>
      <c r="HV30" s="30">
        <v>0</v>
      </c>
      <c r="HW30" s="31">
        <v>0</v>
      </c>
      <c r="HX30" s="31" t="s">
        <v>56</v>
      </c>
      <c r="HY30" s="30">
        <v>0</v>
      </c>
      <c r="HZ30" s="31">
        <v>0</v>
      </c>
      <c r="IA30" s="31" t="s">
        <v>56</v>
      </c>
      <c r="IB30" s="31">
        <v>0</v>
      </c>
      <c r="IC30" s="31">
        <v>0</v>
      </c>
      <c r="ID30" s="31" t="s">
        <v>56</v>
      </c>
      <c r="IE30" s="31">
        <v>0</v>
      </c>
      <c r="IF30" s="31">
        <v>0</v>
      </c>
      <c r="IG30" s="31" t="s">
        <v>56</v>
      </c>
      <c r="IH30" s="31">
        <v>0</v>
      </c>
      <c r="II30" s="31">
        <v>0</v>
      </c>
      <c r="IJ30" s="31" t="s">
        <v>56</v>
      </c>
      <c r="IK30" s="31">
        <v>0</v>
      </c>
      <c r="IL30" s="31">
        <v>0</v>
      </c>
      <c r="IM30" s="31" t="s">
        <v>56</v>
      </c>
      <c r="IN30" s="31">
        <v>0</v>
      </c>
      <c r="IO30" s="31">
        <v>0</v>
      </c>
      <c r="IP30" s="31" t="s">
        <v>56</v>
      </c>
      <c r="IQ30" s="31">
        <v>0</v>
      </c>
      <c r="IR30" s="31">
        <v>0</v>
      </c>
      <c r="IS30" s="31" t="s">
        <v>56</v>
      </c>
      <c r="IT30" s="11">
        <f t="shared" si="65"/>
        <v>101756.36650999999</v>
      </c>
      <c r="IU30" s="10">
        <f t="shared" si="66"/>
        <v>21440.89904</v>
      </c>
      <c r="IV30" s="10">
        <f t="shared" si="67"/>
        <v>21.07081824496251</v>
      </c>
      <c r="IW30" s="16"/>
      <c r="IX30" s="16"/>
      <c r="IZ30" s="18"/>
    </row>
    <row r="31" spans="1:260" x14ac:dyDescent="0.2">
      <c r="A31" s="13" t="s">
        <v>34</v>
      </c>
      <c r="B31" s="23">
        <f t="shared" si="47"/>
        <v>150306</v>
      </c>
      <c r="C31" s="23">
        <f t="shared" si="48"/>
        <v>24600</v>
      </c>
      <c r="D31" s="24">
        <f t="shared" si="49"/>
        <v>16.366612111292962</v>
      </c>
      <c r="E31" s="30">
        <v>150306</v>
      </c>
      <c r="F31" s="31">
        <v>24600</v>
      </c>
      <c r="G31" s="31">
        <f t="shared" si="50"/>
        <v>16.366612111292962</v>
      </c>
      <c r="H31" s="30">
        <v>0</v>
      </c>
      <c r="I31" s="30">
        <v>0</v>
      </c>
      <c r="J31" s="31" t="s">
        <v>56</v>
      </c>
      <c r="K31" s="31">
        <v>0</v>
      </c>
      <c r="L31" s="31">
        <v>0</v>
      </c>
      <c r="M31" s="31" t="s">
        <v>56</v>
      </c>
      <c r="N31" s="23">
        <f t="shared" si="51"/>
        <v>218757.36807000003</v>
      </c>
      <c r="O31" s="23">
        <f t="shared" si="52"/>
        <v>106.6</v>
      </c>
      <c r="P31" s="24">
        <f t="shared" si="53"/>
        <v>4.872978722521891E-2</v>
      </c>
      <c r="Q31" s="31">
        <f>14222040/1000</f>
        <v>14222.04</v>
      </c>
      <c r="R31" s="31">
        <v>0</v>
      </c>
      <c r="S31" s="31">
        <f t="shared" si="68"/>
        <v>0</v>
      </c>
      <c r="T31" s="30">
        <v>0</v>
      </c>
      <c r="U31" s="31">
        <v>0</v>
      </c>
      <c r="V31" s="31" t="s">
        <v>56</v>
      </c>
      <c r="W31" s="30">
        <v>0</v>
      </c>
      <c r="X31" s="31">
        <v>0</v>
      </c>
      <c r="Y31" s="31" t="s">
        <v>56</v>
      </c>
      <c r="Z31" s="30">
        <v>0</v>
      </c>
      <c r="AA31" s="31">
        <v>0</v>
      </c>
      <c r="AB31" s="31" t="s">
        <v>56</v>
      </c>
      <c r="AC31" s="30">
        <v>0</v>
      </c>
      <c r="AD31" s="31">
        <v>0</v>
      </c>
      <c r="AE31" s="31" t="s">
        <v>56</v>
      </c>
      <c r="AF31" s="30">
        <v>0</v>
      </c>
      <c r="AG31" s="31">
        <v>0</v>
      </c>
      <c r="AH31" s="31" t="s">
        <v>56</v>
      </c>
      <c r="AI31" s="30">
        <v>0</v>
      </c>
      <c r="AJ31" s="30">
        <v>0</v>
      </c>
      <c r="AK31" s="31" t="s">
        <v>56</v>
      </c>
      <c r="AL31" s="31">
        <f>5521300/1000</f>
        <v>5521.3</v>
      </c>
      <c r="AM31" s="31">
        <v>0</v>
      </c>
      <c r="AN31" s="31">
        <v>0</v>
      </c>
      <c r="AO31" s="31">
        <v>0</v>
      </c>
      <c r="AP31" s="31">
        <v>0</v>
      </c>
      <c r="AQ31" s="31" t="s">
        <v>56</v>
      </c>
      <c r="AR31" s="31">
        <v>0</v>
      </c>
      <c r="AS31" s="31">
        <v>0</v>
      </c>
      <c r="AT31" s="31" t="s">
        <v>56</v>
      </c>
      <c r="AU31" s="30">
        <f>668069.78/1000</f>
        <v>668.06978000000004</v>
      </c>
      <c r="AV31" s="31">
        <v>0</v>
      </c>
      <c r="AW31" s="31">
        <f t="shared" ref="AW31:AW32" si="86">AV31/AU31%</f>
        <v>0</v>
      </c>
      <c r="AX31" s="30">
        <v>0</v>
      </c>
      <c r="AY31" s="31">
        <v>0</v>
      </c>
      <c r="AZ31" s="31" t="s">
        <v>56</v>
      </c>
      <c r="BA31" s="30">
        <v>0</v>
      </c>
      <c r="BB31" s="31">
        <v>0</v>
      </c>
      <c r="BC31" s="31" t="s">
        <v>56</v>
      </c>
      <c r="BD31" s="30">
        <f>89470.42/1000</f>
        <v>89.470420000000004</v>
      </c>
      <c r="BE31" s="31">
        <v>0</v>
      </c>
      <c r="BF31" s="31">
        <v>0</v>
      </c>
      <c r="BG31" s="30">
        <v>0</v>
      </c>
      <c r="BH31" s="31">
        <v>0</v>
      </c>
      <c r="BI31" s="31" t="s">
        <v>56</v>
      </c>
      <c r="BJ31" s="30">
        <v>0</v>
      </c>
      <c r="BK31" s="31">
        <v>0</v>
      </c>
      <c r="BL31" s="31" t="s">
        <v>56</v>
      </c>
      <c r="BM31" s="30">
        <f>501473.93/1000</f>
        <v>501.47393</v>
      </c>
      <c r="BN31" s="31">
        <v>0</v>
      </c>
      <c r="BO31" s="31">
        <f>BN31/BM31%</f>
        <v>0</v>
      </c>
      <c r="BP31" s="30">
        <v>0</v>
      </c>
      <c r="BQ31" s="31">
        <v>0</v>
      </c>
      <c r="BR31" s="31" t="s">
        <v>56</v>
      </c>
      <c r="BS31" s="30">
        <v>0</v>
      </c>
      <c r="BT31" s="31">
        <v>0</v>
      </c>
      <c r="BU31" s="31" t="s">
        <v>56</v>
      </c>
      <c r="BV31" s="31">
        <v>0</v>
      </c>
      <c r="BW31" s="31">
        <v>0</v>
      </c>
      <c r="BX31" s="31" t="s">
        <v>56</v>
      </c>
      <c r="BY31" s="31">
        <v>1047.5</v>
      </c>
      <c r="BZ31" s="31">
        <v>106.6</v>
      </c>
      <c r="CA31" s="32">
        <f t="shared" si="54"/>
        <v>10.176610978520285</v>
      </c>
      <c r="CB31" s="30">
        <v>0</v>
      </c>
      <c r="CC31" s="30">
        <v>0</v>
      </c>
      <c r="CD31" s="33" t="s">
        <v>56</v>
      </c>
      <c r="CE31" s="30">
        <v>0</v>
      </c>
      <c r="CF31" s="30">
        <v>0</v>
      </c>
      <c r="CG31" s="33" t="s">
        <v>56</v>
      </c>
      <c r="CH31" s="33">
        <v>0</v>
      </c>
      <c r="CI31" s="33">
        <v>0</v>
      </c>
      <c r="CJ31" s="33" t="s">
        <v>56</v>
      </c>
      <c r="CK31" s="30">
        <v>0</v>
      </c>
      <c r="CL31" s="30">
        <v>0</v>
      </c>
      <c r="CM31" s="33" t="s">
        <v>56</v>
      </c>
      <c r="CN31" s="30">
        <v>0</v>
      </c>
      <c r="CO31" s="33">
        <v>0</v>
      </c>
      <c r="CP31" s="33" t="s">
        <v>56</v>
      </c>
      <c r="CQ31" s="33">
        <f>183978.94/1000</f>
        <v>183.97893999999999</v>
      </c>
      <c r="CR31" s="33">
        <v>0</v>
      </c>
      <c r="CS31" s="33">
        <v>0</v>
      </c>
      <c r="CT31" s="33">
        <v>0</v>
      </c>
      <c r="CU31" s="33">
        <v>0</v>
      </c>
      <c r="CV31" s="33" t="s">
        <v>56</v>
      </c>
      <c r="CW31" s="33">
        <f>3583135/1000</f>
        <v>3583.1350000000002</v>
      </c>
      <c r="CX31" s="33">
        <v>0</v>
      </c>
      <c r="CY31" s="33">
        <v>0</v>
      </c>
      <c r="CZ31" s="33">
        <v>0</v>
      </c>
      <c r="DA31" s="33">
        <v>0</v>
      </c>
      <c r="DB31" s="33" t="s">
        <v>56</v>
      </c>
      <c r="DC31" s="33">
        <f>48073000/1000</f>
        <v>48073</v>
      </c>
      <c r="DD31" s="33">
        <v>0</v>
      </c>
      <c r="DE31" s="33">
        <v>0</v>
      </c>
      <c r="DF31" s="33">
        <v>0</v>
      </c>
      <c r="DG31" s="33">
        <v>0</v>
      </c>
      <c r="DH31" s="33" t="s">
        <v>56</v>
      </c>
      <c r="DI31" s="33">
        <f>2381100/1000</f>
        <v>2381.1</v>
      </c>
      <c r="DJ31" s="33">
        <v>0</v>
      </c>
      <c r="DK31" s="33">
        <v>0</v>
      </c>
      <c r="DL31" s="33">
        <v>0</v>
      </c>
      <c r="DM31" s="33">
        <v>0</v>
      </c>
      <c r="DN31" s="33" t="s">
        <v>56</v>
      </c>
      <c r="DO31" s="33">
        <v>0</v>
      </c>
      <c r="DP31" s="33">
        <v>0</v>
      </c>
      <c r="DQ31" s="33" t="s">
        <v>56</v>
      </c>
      <c r="DR31" s="33">
        <f>2486300/1000</f>
        <v>2486.3000000000002</v>
      </c>
      <c r="DS31" s="33">
        <v>0</v>
      </c>
      <c r="DT31" s="33">
        <f t="shared" si="72"/>
        <v>0</v>
      </c>
      <c r="DU31" s="33">
        <v>0</v>
      </c>
      <c r="DV31" s="33">
        <v>0</v>
      </c>
      <c r="DW31" s="33" t="s">
        <v>56</v>
      </c>
      <c r="DX31" s="30">
        <f>140000000/1000</f>
        <v>140000</v>
      </c>
      <c r="DY31" s="31">
        <v>0</v>
      </c>
      <c r="DZ31" s="33">
        <v>0</v>
      </c>
      <c r="EA31" s="30">
        <v>0</v>
      </c>
      <c r="EB31" s="31">
        <v>0</v>
      </c>
      <c r="EC31" s="33" t="s">
        <v>56</v>
      </c>
      <c r="ED31" s="23">
        <f t="shared" si="55"/>
        <v>154477.36480000004</v>
      </c>
      <c r="EE31" s="23">
        <f t="shared" si="56"/>
        <v>49356.311000000002</v>
      </c>
      <c r="EF31" s="24">
        <f t="shared" si="57"/>
        <v>31.950513309118794</v>
      </c>
      <c r="EG31" s="34">
        <f>1406900/1000</f>
        <v>1406.9</v>
      </c>
      <c r="EH31" s="34">
        <v>351.6</v>
      </c>
      <c r="EI31" s="31">
        <f t="shared" si="26"/>
        <v>24.991115217854858</v>
      </c>
      <c r="EJ31" s="34">
        <v>0</v>
      </c>
      <c r="EK31" s="31">
        <v>0</v>
      </c>
      <c r="EL31" s="31" t="s">
        <v>56</v>
      </c>
      <c r="EM31" s="34">
        <v>0</v>
      </c>
      <c r="EN31" s="31">
        <v>0</v>
      </c>
      <c r="EO31" s="31" t="s">
        <v>56</v>
      </c>
      <c r="EP31" s="34">
        <v>56207.199999999997</v>
      </c>
      <c r="EQ31" s="31">
        <v>12305.155000000001</v>
      </c>
      <c r="ER31" s="31">
        <f t="shared" si="58"/>
        <v>21.892488862636817</v>
      </c>
      <c r="ES31" s="31">
        <v>81358.899999999994</v>
      </c>
      <c r="ET31" s="31">
        <v>32995.5</v>
      </c>
      <c r="EU31" s="36">
        <f t="shared" si="59"/>
        <v>40.55548931954587</v>
      </c>
      <c r="EV31" s="34">
        <f>4252500/1000</f>
        <v>4252.5</v>
      </c>
      <c r="EW31" s="33">
        <v>1414.9</v>
      </c>
      <c r="EX31" s="33">
        <f t="shared" si="60"/>
        <v>33.272192827748384</v>
      </c>
      <c r="EY31" s="34">
        <f>375400/1000</f>
        <v>375.4</v>
      </c>
      <c r="EZ31" s="31">
        <v>0</v>
      </c>
      <c r="FA31" s="31">
        <f t="shared" si="30"/>
        <v>0</v>
      </c>
      <c r="FB31" s="34">
        <v>0</v>
      </c>
      <c r="FC31" s="31">
        <v>0</v>
      </c>
      <c r="FD31" s="31" t="s">
        <v>56</v>
      </c>
      <c r="FE31" s="34">
        <f>82700/1000</f>
        <v>82.7</v>
      </c>
      <c r="FF31" s="31">
        <v>0</v>
      </c>
      <c r="FG31" s="31">
        <v>0</v>
      </c>
      <c r="FH31" s="34">
        <v>0</v>
      </c>
      <c r="FI31" s="31">
        <v>0</v>
      </c>
      <c r="FJ31" s="31" t="s">
        <v>56</v>
      </c>
      <c r="FK31" s="34">
        <f>122500/1000</f>
        <v>122.5</v>
      </c>
      <c r="FL31" s="31">
        <v>30.6</v>
      </c>
      <c r="FM31" s="31">
        <f t="shared" si="33"/>
        <v>24.979591836734695</v>
      </c>
      <c r="FN31" s="34">
        <f>12600/1000</f>
        <v>12.6</v>
      </c>
      <c r="FO31" s="31">
        <v>0</v>
      </c>
      <c r="FP31" s="31">
        <f t="shared" si="34"/>
        <v>0</v>
      </c>
      <c r="FQ31" s="34">
        <f>63600/1000</f>
        <v>63.6</v>
      </c>
      <c r="FR31" s="31">
        <v>15.9</v>
      </c>
      <c r="FS31" s="31">
        <f t="shared" si="69"/>
        <v>25</v>
      </c>
      <c r="FT31" s="34">
        <v>0</v>
      </c>
      <c r="FU31" s="31">
        <v>0</v>
      </c>
      <c r="FV31" s="31" t="s">
        <v>56</v>
      </c>
      <c r="FW31" s="34">
        <f>635100/1000</f>
        <v>635.1</v>
      </c>
      <c r="FX31" s="31">
        <f>144773/1000</f>
        <v>144.773</v>
      </c>
      <c r="FY31" s="31">
        <f t="shared" si="36"/>
        <v>22.795307825539286</v>
      </c>
      <c r="FZ31" s="34">
        <f>231100/1000</f>
        <v>231.1</v>
      </c>
      <c r="GA31" s="31">
        <f>113756/1000</f>
        <v>113.756</v>
      </c>
      <c r="GB31" s="31">
        <f t="shared" si="37"/>
        <v>49.223712678494159</v>
      </c>
      <c r="GC31" s="34">
        <f>603064.8/1000</f>
        <v>603.06479999999999</v>
      </c>
      <c r="GD31" s="31">
        <f>150765/1000</f>
        <v>150.76499999999999</v>
      </c>
      <c r="GE31" s="31">
        <f t="shared" si="78"/>
        <v>24.999801016408185</v>
      </c>
      <c r="GF31" s="35">
        <v>0</v>
      </c>
      <c r="GG31" s="31">
        <v>0</v>
      </c>
      <c r="GH31" s="31" t="s">
        <v>56</v>
      </c>
      <c r="GI31" s="35">
        <v>1640.8</v>
      </c>
      <c r="GJ31" s="31">
        <v>345.32</v>
      </c>
      <c r="GK31" s="31">
        <f t="shared" si="40"/>
        <v>21.045831301803997</v>
      </c>
      <c r="GL31" s="34">
        <v>0</v>
      </c>
      <c r="GM31" s="34">
        <v>0</v>
      </c>
      <c r="GN31" s="31" t="s">
        <v>56</v>
      </c>
      <c r="GO31" s="34">
        <f>40200/1000</f>
        <v>40.200000000000003</v>
      </c>
      <c r="GP31" s="31">
        <f>10062/1000</f>
        <v>10.061999999999999</v>
      </c>
      <c r="GQ31" s="31">
        <f t="shared" si="83"/>
        <v>25.029850746268654</v>
      </c>
      <c r="GR31" s="34">
        <f>667600/1000</f>
        <v>667.6</v>
      </c>
      <c r="GS31" s="31">
        <v>108</v>
      </c>
      <c r="GT31" s="31">
        <f t="shared" ref="GT31:GT37" si="87">GS31/GR31%</f>
        <v>16.177351707609347</v>
      </c>
      <c r="GU31" s="34">
        <v>0</v>
      </c>
      <c r="GV31" s="31">
        <v>0</v>
      </c>
      <c r="GW31" s="31" t="s">
        <v>56</v>
      </c>
      <c r="GX31" s="34">
        <f>238200/1000</f>
        <v>238.2</v>
      </c>
      <c r="GY31" s="31">
        <v>0</v>
      </c>
      <c r="GZ31" s="31">
        <v>0</v>
      </c>
      <c r="HA31" s="31">
        <f>(76900+4799100)/1000</f>
        <v>4876</v>
      </c>
      <c r="HB31" s="31">
        <v>1231.3800000000001</v>
      </c>
      <c r="HC31" s="36">
        <f t="shared" si="61"/>
        <v>25.25389663658737</v>
      </c>
      <c r="HD31" s="34">
        <f>1663000/1000</f>
        <v>1663</v>
      </c>
      <c r="HE31" s="31">
        <v>138.6</v>
      </c>
      <c r="HF31" s="31">
        <f t="shared" si="62"/>
        <v>8.3343355381840034</v>
      </c>
      <c r="HG31" s="28">
        <f t="shared" si="63"/>
        <v>3741.3</v>
      </c>
      <c r="HH31" s="28">
        <f t="shared" si="64"/>
        <v>0</v>
      </c>
      <c r="HI31" s="26">
        <f t="shared" si="46"/>
        <v>0</v>
      </c>
      <c r="HJ31" s="37">
        <v>0</v>
      </c>
      <c r="HK31" s="37">
        <v>0</v>
      </c>
      <c r="HL31" s="37" t="s">
        <v>56</v>
      </c>
      <c r="HM31" s="33">
        <v>0</v>
      </c>
      <c r="HN31" s="33">
        <v>0</v>
      </c>
      <c r="HO31" s="33" t="s">
        <v>56</v>
      </c>
      <c r="HP31" s="33">
        <f>3741300/1000</f>
        <v>3741.3</v>
      </c>
      <c r="HQ31" s="37">
        <v>0</v>
      </c>
      <c r="HR31" s="37">
        <v>0</v>
      </c>
      <c r="HS31" s="37">
        <v>0</v>
      </c>
      <c r="HT31" s="37">
        <v>0</v>
      </c>
      <c r="HU31" s="37" t="s">
        <v>56</v>
      </c>
      <c r="HV31" s="38">
        <v>0</v>
      </c>
      <c r="HW31" s="31">
        <v>0</v>
      </c>
      <c r="HX31" s="31" t="s">
        <v>56</v>
      </c>
      <c r="HY31" s="30">
        <v>0</v>
      </c>
      <c r="HZ31" s="31">
        <v>0</v>
      </c>
      <c r="IA31" s="31" t="s">
        <v>56</v>
      </c>
      <c r="IB31" s="31">
        <v>0</v>
      </c>
      <c r="IC31" s="31">
        <v>0</v>
      </c>
      <c r="ID31" s="31" t="s">
        <v>56</v>
      </c>
      <c r="IE31" s="31">
        <v>0</v>
      </c>
      <c r="IF31" s="31">
        <v>0</v>
      </c>
      <c r="IG31" s="31" t="s">
        <v>56</v>
      </c>
      <c r="IH31" s="31">
        <v>0</v>
      </c>
      <c r="II31" s="31">
        <v>0</v>
      </c>
      <c r="IJ31" s="31" t="s">
        <v>56</v>
      </c>
      <c r="IK31" s="31">
        <v>0</v>
      </c>
      <c r="IL31" s="31">
        <v>0</v>
      </c>
      <c r="IM31" s="31" t="s">
        <v>56</v>
      </c>
      <c r="IN31" s="31">
        <v>0</v>
      </c>
      <c r="IO31" s="31">
        <v>0</v>
      </c>
      <c r="IP31" s="31" t="s">
        <v>56</v>
      </c>
      <c r="IQ31" s="31">
        <v>0</v>
      </c>
      <c r="IR31" s="31">
        <v>0</v>
      </c>
      <c r="IS31" s="31" t="s">
        <v>56</v>
      </c>
      <c r="IT31" s="11">
        <f t="shared" si="65"/>
        <v>527282.03287000011</v>
      </c>
      <c r="IU31" s="10">
        <f t="shared" si="66"/>
        <v>74062.910999999993</v>
      </c>
      <c r="IV31" s="10">
        <f t="shared" si="67"/>
        <v>14.046166260753285</v>
      </c>
      <c r="IW31" s="16"/>
      <c r="IX31" s="16"/>
      <c r="IZ31" s="18"/>
    </row>
    <row r="32" spans="1:260" x14ac:dyDescent="0.2">
      <c r="A32" s="13" t="s">
        <v>35</v>
      </c>
      <c r="B32" s="23">
        <f t="shared" si="47"/>
        <v>114842</v>
      </c>
      <c r="C32" s="23">
        <f t="shared" si="48"/>
        <v>43706.5</v>
      </c>
      <c r="D32" s="24">
        <f t="shared" si="49"/>
        <v>38.057940474739205</v>
      </c>
      <c r="E32" s="30">
        <v>114842</v>
      </c>
      <c r="F32" s="31">
        <v>43706.5</v>
      </c>
      <c r="G32" s="31">
        <f t="shared" si="50"/>
        <v>38.057940474739205</v>
      </c>
      <c r="H32" s="30">
        <v>0</v>
      </c>
      <c r="I32" s="30">
        <v>0</v>
      </c>
      <c r="J32" s="31" t="s">
        <v>56</v>
      </c>
      <c r="K32" s="31">
        <v>0</v>
      </c>
      <c r="L32" s="31">
        <v>0</v>
      </c>
      <c r="M32" s="31" t="s">
        <v>56</v>
      </c>
      <c r="N32" s="23">
        <f t="shared" si="51"/>
        <v>85515.599159999998</v>
      </c>
      <c r="O32" s="23">
        <f t="shared" si="52"/>
        <v>48.8</v>
      </c>
      <c r="P32" s="24">
        <f t="shared" si="53"/>
        <v>5.7065611981148637E-2</v>
      </c>
      <c r="Q32" s="31">
        <f>17977750/1000</f>
        <v>17977.75</v>
      </c>
      <c r="R32" s="31">
        <v>0</v>
      </c>
      <c r="S32" s="31">
        <f t="shared" si="68"/>
        <v>0</v>
      </c>
      <c r="T32" s="30">
        <v>0</v>
      </c>
      <c r="U32" s="31">
        <v>0</v>
      </c>
      <c r="V32" s="31" t="s">
        <v>56</v>
      </c>
      <c r="W32" s="30">
        <v>0</v>
      </c>
      <c r="X32" s="31">
        <v>0</v>
      </c>
      <c r="Y32" s="31" t="s">
        <v>56</v>
      </c>
      <c r="Z32" s="30">
        <v>0</v>
      </c>
      <c r="AA32" s="31">
        <v>0</v>
      </c>
      <c r="AB32" s="31" t="s">
        <v>56</v>
      </c>
      <c r="AC32" s="30">
        <v>0</v>
      </c>
      <c r="AD32" s="31">
        <v>0</v>
      </c>
      <c r="AE32" s="31" t="s">
        <v>56</v>
      </c>
      <c r="AF32" s="30">
        <v>0</v>
      </c>
      <c r="AG32" s="31">
        <v>0</v>
      </c>
      <c r="AH32" s="31" t="s">
        <v>56</v>
      </c>
      <c r="AI32" s="30">
        <v>0</v>
      </c>
      <c r="AJ32" s="30">
        <v>0</v>
      </c>
      <c r="AK32" s="31" t="s">
        <v>56</v>
      </c>
      <c r="AL32" s="31">
        <f>3231500/1000</f>
        <v>3231.5</v>
      </c>
      <c r="AM32" s="31">
        <v>0</v>
      </c>
      <c r="AN32" s="31">
        <v>0</v>
      </c>
      <c r="AO32" s="31">
        <v>0</v>
      </c>
      <c r="AP32" s="31">
        <v>0</v>
      </c>
      <c r="AQ32" s="31" t="s">
        <v>56</v>
      </c>
      <c r="AR32" s="31">
        <v>0</v>
      </c>
      <c r="AS32" s="31">
        <v>0</v>
      </c>
      <c r="AT32" s="31" t="s">
        <v>56</v>
      </c>
      <c r="AU32" s="30">
        <f>445379.85/1000</f>
        <v>445.37984999999998</v>
      </c>
      <c r="AV32" s="31">
        <v>0</v>
      </c>
      <c r="AW32" s="31">
        <f t="shared" si="86"/>
        <v>0</v>
      </c>
      <c r="AX32" s="30">
        <v>0</v>
      </c>
      <c r="AY32" s="31">
        <v>0</v>
      </c>
      <c r="AZ32" s="31" t="s">
        <v>56</v>
      </c>
      <c r="BA32" s="30">
        <v>0</v>
      </c>
      <c r="BB32" s="31">
        <v>0</v>
      </c>
      <c r="BC32" s="31" t="s">
        <v>56</v>
      </c>
      <c r="BD32" s="30">
        <v>0</v>
      </c>
      <c r="BE32" s="31">
        <v>0</v>
      </c>
      <c r="BF32" s="31" t="s">
        <v>56</v>
      </c>
      <c r="BG32" s="30">
        <f>150000/1000</f>
        <v>150</v>
      </c>
      <c r="BH32" s="31">
        <v>0</v>
      </c>
      <c r="BI32" s="31">
        <v>0</v>
      </c>
      <c r="BJ32" s="30">
        <v>0</v>
      </c>
      <c r="BK32" s="31">
        <v>0</v>
      </c>
      <c r="BL32" s="31" t="s">
        <v>56</v>
      </c>
      <c r="BM32" s="30">
        <v>0</v>
      </c>
      <c r="BN32" s="31">
        <v>0</v>
      </c>
      <c r="BO32" s="31" t="s">
        <v>56</v>
      </c>
      <c r="BP32" s="30">
        <v>0</v>
      </c>
      <c r="BQ32" s="31">
        <v>0</v>
      </c>
      <c r="BR32" s="31" t="s">
        <v>56</v>
      </c>
      <c r="BS32" s="30">
        <v>0</v>
      </c>
      <c r="BT32" s="31">
        <v>0</v>
      </c>
      <c r="BU32" s="31" t="s">
        <v>56</v>
      </c>
      <c r="BV32" s="31">
        <v>0</v>
      </c>
      <c r="BW32" s="31">
        <v>0</v>
      </c>
      <c r="BX32" s="31" t="s">
        <v>56</v>
      </c>
      <c r="BY32" s="31">
        <v>609.6</v>
      </c>
      <c r="BZ32" s="31">
        <v>48.8</v>
      </c>
      <c r="CA32" s="32">
        <f t="shared" si="54"/>
        <v>8.0052493438320198</v>
      </c>
      <c r="CB32" s="30">
        <v>0</v>
      </c>
      <c r="CC32" s="30">
        <v>0</v>
      </c>
      <c r="CD32" s="33" t="s">
        <v>56</v>
      </c>
      <c r="CE32" s="30">
        <v>0</v>
      </c>
      <c r="CF32" s="30">
        <v>0</v>
      </c>
      <c r="CG32" s="33" t="s">
        <v>56</v>
      </c>
      <c r="CH32" s="33">
        <v>0</v>
      </c>
      <c r="CI32" s="33">
        <v>0</v>
      </c>
      <c r="CJ32" s="33" t="s">
        <v>56</v>
      </c>
      <c r="CK32" s="30">
        <v>0</v>
      </c>
      <c r="CL32" s="30">
        <v>0</v>
      </c>
      <c r="CM32" s="33" t="s">
        <v>56</v>
      </c>
      <c r="CN32" s="30">
        <v>0</v>
      </c>
      <c r="CO32" s="33">
        <v>0</v>
      </c>
      <c r="CP32" s="33" t="s">
        <v>56</v>
      </c>
      <c r="CQ32" s="33">
        <f>197473.05/1000</f>
        <v>197.47305</v>
      </c>
      <c r="CR32" s="33">
        <v>0</v>
      </c>
      <c r="CS32" s="33">
        <v>0</v>
      </c>
      <c r="CT32" s="33">
        <f>145500/1000</f>
        <v>145.5</v>
      </c>
      <c r="CU32" s="33">
        <v>0</v>
      </c>
      <c r="CV32" s="33">
        <v>0</v>
      </c>
      <c r="CW32" s="33">
        <f>10114261/1000</f>
        <v>10114.261</v>
      </c>
      <c r="CX32" s="33">
        <v>0</v>
      </c>
      <c r="CY32" s="33">
        <v>0</v>
      </c>
      <c r="CZ32" s="33">
        <f>2035724/1000</f>
        <v>2035.7239999999999</v>
      </c>
      <c r="DA32" s="33">
        <v>0</v>
      </c>
      <c r="DB32" s="33">
        <f t="shared" si="71"/>
        <v>0</v>
      </c>
      <c r="DC32" s="33">
        <f>44249511.26/1000</f>
        <v>44249.511259999999</v>
      </c>
      <c r="DD32" s="33">
        <v>0</v>
      </c>
      <c r="DE32" s="33">
        <v>0</v>
      </c>
      <c r="DF32" s="33">
        <v>0</v>
      </c>
      <c r="DG32" s="33">
        <v>0</v>
      </c>
      <c r="DH32" s="33" t="s">
        <v>56</v>
      </c>
      <c r="DI32" s="33">
        <f>1619000/1000</f>
        <v>1619</v>
      </c>
      <c r="DJ32" s="33">
        <v>0</v>
      </c>
      <c r="DK32" s="33">
        <v>0</v>
      </c>
      <c r="DL32" s="33">
        <f>300000/1000</f>
        <v>300</v>
      </c>
      <c r="DM32" s="33">
        <v>0</v>
      </c>
      <c r="DN32" s="33">
        <v>0</v>
      </c>
      <c r="DO32" s="33">
        <v>0</v>
      </c>
      <c r="DP32" s="33">
        <v>0</v>
      </c>
      <c r="DQ32" s="33" t="s">
        <v>56</v>
      </c>
      <c r="DR32" s="33">
        <f>4439900/1000</f>
        <v>4439.8999999999996</v>
      </c>
      <c r="DS32" s="33">
        <v>0</v>
      </c>
      <c r="DT32" s="33">
        <f t="shared" si="72"/>
        <v>0</v>
      </c>
      <c r="DU32" s="33">
        <v>0</v>
      </c>
      <c r="DV32" s="33">
        <v>0</v>
      </c>
      <c r="DW32" s="33" t="s">
        <v>56</v>
      </c>
      <c r="DX32" s="30">
        <v>0</v>
      </c>
      <c r="DY32" s="31">
        <v>0</v>
      </c>
      <c r="DZ32" s="33" t="s">
        <v>56</v>
      </c>
      <c r="EA32" s="30">
        <v>0</v>
      </c>
      <c r="EB32" s="31">
        <v>0</v>
      </c>
      <c r="EC32" s="33" t="s">
        <v>56</v>
      </c>
      <c r="ED32" s="23">
        <f t="shared" si="55"/>
        <v>247587.3</v>
      </c>
      <c r="EE32" s="23">
        <f t="shared" si="56"/>
        <v>71249.583229999989</v>
      </c>
      <c r="EF32" s="24">
        <f t="shared" si="57"/>
        <v>28.777559765787657</v>
      </c>
      <c r="EG32" s="34">
        <f>2104000/1000</f>
        <v>2104</v>
      </c>
      <c r="EH32" s="34">
        <v>350.4</v>
      </c>
      <c r="EI32" s="31">
        <f t="shared" si="26"/>
        <v>16.65399239543726</v>
      </c>
      <c r="EJ32" s="34">
        <v>0</v>
      </c>
      <c r="EK32" s="31">
        <v>0</v>
      </c>
      <c r="EL32" s="31" t="s">
        <v>56</v>
      </c>
      <c r="EM32" s="34">
        <v>0</v>
      </c>
      <c r="EN32" s="31">
        <v>0</v>
      </c>
      <c r="EO32" s="31" t="s">
        <v>56</v>
      </c>
      <c r="EP32" s="34">
        <v>63484.2</v>
      </c>
      <c r="EQ32" s="31">
        <v>14812.574000000001</v>
      </c>
      <c r="ER32" s="31">
        <f t="shared" si="58"/>
        <v>23.332693804127643</v>
      </c>
      <c r="ES32" s="31">
        <v>152307.79999999999</v>
      </c>
      <c r="ET32" s="31">
        <v>48997.4</v>
      </c>
      <c r="EU32" s="36">
        <f t="shared" si="59"/>
        <v>32.169987354554394</v>
      </c>
      <c r="EV32" s="34">
        <f>9676800/1000</f>
        <v>9676.7999999999993</v>
      </c>
      <c r="EW32" s="33">
        <v>2330.6</v>
      </c>
      <c r="EX32" s="33">
        <f t="shared" si="60"/>
        <v>24.08440806878307</v>
      </c>
      <c r="EY32" s="34">
        <f>2361800/1000</f>
        <v>2361.8000000000002</v>
      </c>
      <c r="EZ32" s="31">
        <v>0</v>
      </c>
      <c r="FA32" s="31">
        <f t="shared" si="30"/>
        <v>0</v>
      </c>
      <c r="FB32" s="34">
        <v>0</v>
      </c>
      <c r="FC32" s="31">
        <v>0</v>
      </c>
      <c r="FD32" s="31" t="s">
        <v>56</v>
      </c>
      <c r="FE32" s="34">
        <v>0</v>
      </c>
      <c r="FF32" s="31">
        <v>0</v>
      </c>
      <c r="FG32" s="31" t="s">
        <v>56</v>
      </c>
      <c r="FH32" s="34">
        <v>0</v>
      </c>
      <c r="FI32" s="31">
        <v>0</v>
      </c>
      <c r="FJ32" s="31" t="s">
        <v>56</v>
      </c>
      <c r="FK32" s="34">
        <f>175000/1000</f>
        <v>175</v>
      </c>
      <c r="FL32" s="31">
        <v>43.8</v>
      </c>
      <c r="FM32" s="31">
        <f t="shared" si="33"/>
        <v>25.028571428571428</v>
      </c>
      <c r="FN32" s="34">
        <f>7200/1000</f>
        <v>7.2</v>
      </c>
      <c r="FO32" s="31">
        <v>0</v>
      </c>
      <c r="FP32" s="31">
        <f t="shared" si="34"/>
        <v>0</v>
      </c>
      <c r="FQ32" s="34">
        <f>95500/1000</f>
        <v>95.5</v>
      </c>
      <c r="FR32" s="31">
        <v>24</v>
      </c>
      <c r="FS32" s="31">
        <f t="shared" si="69"/>
        <v>25.130890052356023</v>
      </c>
      <c r="FT32" s="34">
        <v>0</v>
      </c>
      <c r="FU32" s="31">
        <v>0</v>
      </c>
      <c r="FV32" s="31" t="s">
        <v>56</v>
      </c>
      <c r="FW32" s="34">
        <f>577800/1000</f>
        <v>577.79999999999995</v>
      </c>
      <c r="FX32" s="31">
        <f>186260/1000</f>
        <v>186.26</v>
      </c>
      <c r="FY32" s="31">
        <f t="shared" si="36"/>
        <v>32.236067843544483</v>
      </c>
      <c r="FZ32" s="34">
        <f>209900/1000</f>
        <v>209.9</v>
      </c>
      <c r="GA32" s="31">
        <f>60480/1000</f>
        <v>60.48</v>
      </c>
      <c r="GB32" s="31">
        <f t="shared" si="37"/>
        <v>28.813720819437822</v>
      </c>
      <c r="GC32" s="34">
        <v>0</v>
      </c>
      <c r="GD32" s="31">
        <v>0</v>
      </c>
      <c r="GE32" s="31" t="s">
        <v>56</v>
      </c>
      <c r="GF32" s="35">
        <v>0</v>
      </c>
      <c r="GG32" s="31">
        <v>0</v>
      </c>
      <c r="GH32" s="31" t="s">
        <v>56</v>
      </c>
      <c r="GI32" s="35">
        <v>1328.4</v>
      </c>
      <c r="GJ32" s="31">
        <v>278.85997000000003</v>
      </c>
      <c r="GK32" s="31">
        <f t="shared" si="40"/>
        <v>20.992168774465522</v>
      </c>
      <c r="GL32" s="34">
        <v>0</v>
      </c>
      <c r="GM32" s="34">
        <v>0</v>
      </c>
      <c r="GN32" s="31" t="s">
        <v>56</v>
      </c>
      <c r="GO32" s="34">
        <f>40200/1000</f>
        <v>40.200000000000003</v>
      </c>
      <c r="GP32" s="31">
        <v>0</v>
      </c>
      <c r="GQ32" s="31">
        <f t="shared" si="83"/>
        <v>0</v>
      </c>
      <c r="GR32" s="34">
        <f>908700/1000</f>
        <v>908.7</v>
      </c>
      <c r="GS32" s="31">
        <v>200.7</v>
      </c>
      <c r="GT32" s="31">
        <f t="shared" si="87"/>
        <v>22.086497193793331</v>
      </c>
      <c r="GU32" s="34">
        <v>0</v>
      </c>
      <c r="GV32" s="31">
        <v>0</v>
      </c>
      <c r="GW32" s="31" t="s">
        <v>56</v>
      </c>
      <c r="GX32" s="34">
        <f>305600/1000</f>
        <v>305.60000000000002</v>
      </c>
      <c r="GY32" s="31">
        <v>0</v>
      </c>
      <c r="GZ32" s="31">
        <v>0</v>
      </c>
      <c r="HA32" s="31">
        <f>(146500+11166900)/1000</f>
        <v>11313.4</v>
      </c>
      <c r="HB32" s="31">
        <f>3067309.26/1000</f>
        <v>3067.30926</v>
      </c>
      <c r="HC32" s="36">
        <f t="shared" si="61"/>
        <v>27.112179008962823</v>
      </c>
      <c r="HD32" s="34">
        <f>2691000/1000</f>
        <v>2691</v>
      </c>
      <c r="HE32" s="31">
        <v>897.2</v>
      </c>
      <c r="HF32" s="31">
        <f t="shared" si="62"/>
        <v>33.340765514678559</v>
      </c>
      <c r="HG32" s="28">
        <f t="shared" si="63"/>
        <v>5964.9</v>
      </c>
      <c r="HH32" s="28">
        <f t="shared" si="64"/>
        <v>0</v>
      </c>
      <c r="HI32" s="26">
        <f t="shared" si="46"/>
        <v>0</v>
      </c>
      <c r="HJ32" s="37">
        <v>0</v>
      </c>
      <c r="HK32" s="37">
        <v>0</v>
      </c>
      <c r="HL32" s="37" t="s">
        <v>56</v>
      </c>
      <c r="HM32" s="33">
        <v>0</v>
      </c>
      <c r="HN32" s="33">
        <v>0</v>
      </c>
      <c r="HO32" s="33" t="s">
        <v>56</v>
      </c>
      <c r="HP32" s="33">
        <f>5964900/1000</f>
        <v>5964.9</v>
      </c>
      <c r="HQ32" s="37">
        <v>0</v>
      </c>
      <c r="HR32" s="37">
        <v>0</v>
      </c>
      <c r="HS32" s="37">
        <v>0</v>
      </c>
      <c r="HT32" s="37">
        <v>0</v>
      </c>
      <c r="HU32" s="37" t="s">
        <v>56</v>
      </c>
      <c r="HV32" s="30">
        <v>0</v>
      </c>
      <c r="HW32" s="31">
        <v>0</v>
      </c>
      <c r="HX32" s="31" t="s">
        <v>56</v>
      </c>
      <c r="HY32" s="30">
        <v>0</v>
      </c>
      <c r="HZ32" s="31">
        <v>0</v>
      </c>
      <c r="IA32" s="31" t="s">
        <v>56</v>
      </c>
      <c r="IB32" s="31">
        <v>0</v>
      </c>
      <c r="IC32" s="31">
        <v>0</v>
      </c>
      <c r="ID32" s="31" t="s">
        <v>56</v>
      </c>
      <c r="IE32" s="31">
        <v>0</v>
      </c>
      <c r="IF32" s="31">
        <v>0</v>
      </c>
      <c r="IG32" s="31" t="s">
        <v>56</v>
      </c>
      <c r="IH32" s="31">
        <v>0</v>
      </c>
      <c r="II32" s="31">
        <v>0</v>
      </c>
      <c r="IJ32" s="31" t="s">
        <v>56</v>
      </c>
      <c r="IK32" s="31">
        <v>0</v>
      </c>
      <c r="IL32" s="31">
        <v>0</v>
      </c>
      <c r="IM32" s="31" t="s">
        <v>56</v>
      </c>
      <c r="IN32" s="31">
        <v>0</v>
      </c>
      <c r="IO32" s="31">
        <v>0</v>
      </c>
      <c r="IP32" s="31" t="s">
        <v>56</v>
      </c>
      <c r="IQ32" s="31">
        <v>0</v>
      </c>
      <c r="IR32" s="31">
        <v>0</v>
      </c>
      <c r="IS32" s="31" t="s">
        <v>56</v>
      </c>
      <c r="IT32" s="11">
        <f t="shared" si="65"/>
        <v>453909.79916</v>
      </c>
      <c r="IU32" s="10">
        <f t="shared" si="66"/>
        <v>115004.88322999999</v>
      </c>
      <c r="IV32" s="10">
        <f t="shared" si="67"/>
        <v>25.336505940789699</v>
      </c>
      <c r="IW32" s="16"/>
      <c r="IX32" s="16"/>
      <c r="IZ32" s="18"/>
    </row>
    <row r="33" spans="1:260" x14ac:dyDescent="0.2">
      <c r="A33" s="13" t="s">
        <v>36</v>
      </c>
      <c r="B33" s="23">
        <f t="shared" si="47"/>
        <v>123965</v>
      </c>
      <c r="C33" s="23">
        <f t="shared" si="48"/>
        <v>52867.4</v>
      </c>
      <c r="D33" s="24">
        <f t="shared" si="49"/>
        <v>42.6470374702537</v>
      </c>
      <c r="E33" s="30">
        <v>123965</v>
      </c>
      <c r="F33" s="31">
        <v>52867.4</v>
      </c>
      <c r="G33" s="31">
        <f t="shared" si="50"/>
        <v>42.6470374702537</v>
      </c>
      <c r="H33" s="30">
        <v>0</v>
      </c>
      <c r="I33" s="30">
        <v>0</v>
      </c>
      <c r="J33" s="31" t="s">
        <v>56</v>
      </c>
      <c r="K33" s="31">
        <v>0</v>
      </c>
      <c r="L33" s="31">
        <v>0</v>
      </c>
      <c r="M33" s="31" t="s">
        <v>56</v>
      </c>
      <c r="N33" s="23">
        <f t="shared" si="51"/>
        <v>93706.616850000006</v>
      </c>
      <c r="O33" s="23">
        <f t="shared" si="52"/>
        <v>8</v>
      </c>
      <c r="P33" s="24">
        <f t="shared" si="53"/>
        <v>8.5372839922349623E-3</v>
      </c>
      <c r="Q33" s="31">
        <f>59540920/1000</f>
        <v>59540.92</v>
      </c>
      <c r="R33" s="31">
        <v>0</v>
      </c>
      <c r="S33" s="31">
        <f t="shared" si="68"/>
        <v>0</v>
      </c>
      <c r="T33" s="30">
        <v>0</v>
      </c>
      <c r="U33" s="31">
        <v>0</v>
      </c>
      <c r="V33" s="31" t="s">
        <v>56</v>
      </c>
      <c r="W33" s="30">
        <v>0</v>
      </c>
      <c r="X33" s="31">
        <v>0</v>
      </c>
      <c r="Y33" s="31" t="s">
        <v>56</v>
      </c>
      <c r="Z33" s="30">
        <v>0</v>
      </c>
      <c r="AA33" s="31">
        <v>0</v>
      </c>
      <c r="AB33" s="31" t="s">
        <v>56</v>
      </c>
      <c r="AC33" s="30">
        <v>0</v>
      </c>
      <c r="AD33" s="31">
        <v>0</v>
      </c>
      <c r="AE33" s="31" t="s">
        <v>56</v>
      </c>
      <c r="AF33" s="30">
        <v>0</v>
      </c>
      <c r="AG33" s="31">
        <v>0</v>
      </c>
      <c r="AH33" s="31" t="s">
        <v>56</v>
      </c>
      <c r="AI33" s="30">
        <v>0</v>
      </c>
      <c r="AJ33" s="30">
        <v>0</v>
      </c>
      <c r="AK33" s="31" t="s">
        <v>56</v>
      </c>
      <c r="AL33" s="31">
        <f>2384400/1000</f>
        <v>2384.4</v>
      </c>
      <c r="AM33" s="31">
        <v>0</v>
      </c>
      <c r="AN33" s="31">
        <v>0</v>
      </c>
      <c r="AO33" s="31">
        <v>0</v>
      </c>
      <c r="AP33" s="31">
        <v>0</v>
      </c>
      <c r="AQ33" s="31" t="s">
        <v>56</v>
      </c>
      <c r="AR33" s="31">
        <v>0</v>
      </c>
      <c r="AS33" s="31">
        <v>0</v>
      </c>
      <c r="AT33" s="31" t="s">
        <v>56</v>
      </c>
      <c r="AU33" s="30">
        <f>445379.85/1000</f>
        <v>445.37984999999998</v>
      </c>
      <c r="AV33" s="31">
        <v>0</v>
      </c>
      <c r="AW33" s="31">
        <v>0</v>
      </c>
      <c r="AX33" s="30">
        <v>0</v>
      </c>
      <c r="AY33" s="31">
        <v>0</v>
      </c>
      <c r="AZ33" s="31" t="s">
        <v>56</v>
      </c>
      <c r="BA33" s="30">
        <v>0</v>
      </c>
      <c r="BB33" s="31">
        <v>0</v>
      </c>
      <c r="BC33" s="31" t="s">
        <v>56</v>
      </c>
      <c r="BD33" s="30">
        <v>0</v>
      </c>
      <c r="BE33" s="31">
        <v>0</v>
      </c>
      <c r="BF33" s="31" t="s">
        <v>56</v>
      </c>
      <c r="BG33" s="30">
        <v>0</v>
      </c>
      <c r="BH33" s="31">
        <v>0</v>
      </c>
      <c r="BI33" s="31" t="s">
        <v>56</v>
      </c>
      <c r="BJ33" s="30">
        <v>0</v>
      </c>
      <c r="BK33" s="31">
        <v>0</v>
      </c>
      <c r="BL33" s="31" t="s">
        <v>56</v>
      </c>
      <c r="BM33" s="30">
        <v>0</v>
      </c>
      <c r="BN33" s="31">
        <v>0</v>
      </c>
      <c r="BO33" s="31" t="s">
        <v>56</v>
      </c>
      <c r="BP33" s="30">
        <v>0</v>
      </c>
      <c r="BQ33" s="31">
        <v>0</v>
      </c>
      <c r="BR33" s="31" t="s">
        <v>56</v>
      </c>
      <c r="BS33" s="30">
        <v>0</v>
      </c>
      <c r="BT33" s="31">
        <v>0</v>
      </c>
      <c r="BU33" s="31" t="s">
        <v>56</v>
      </c>
      <c r="BV33" s="31">
        <v>0</v>
      </c>
      <c r="BW33" s="31">
        <v>0</v>
      </c>
      <c r="BX33" s="31" t="s">
        <v>56</v>
      </c>
      <c r="BY33" s="31">
        <v>152.80000000000001</v>
      </c>
      <c r="BZ33" s="31">
        <v>8</v>
      </c>
      <c r="CA33" s="32">
        <f t="shared" si="54"/>
        <v>5.2356020942408366</v>
      </c>
      <c r="CB33" s="30">
        <v>0</v>
      </c>
      <c r="CC33" s="30">
        <v>0</v>
      </c>
      <c r="CD33" s="33" t="s">
        <v>56</v>
      </c>
      <c r="CE33" s="30">
        <v>0</v>
      </c>
      <c r="CF33" s="30">
        <v>0</v>
      </c>
      <c r="CG33" s="33" t="s">
        <v>56</v>
      </c>
      <c r="CH33" s="33">
        <v>0</v>
      </c>
      <c r="CI33" s="33">
        <v>0</v>
      </c>
      <c r="CJ33" s="33" t="s">
        <v>56</v>
      </c>
      <c r="CK33" s="30">
        <v>0</v>
      </c>
      <c r="CL33" s="30">
        <v>0</v>
      </c>
      <c r="CM33" s="33" t="s">
        <v>56</v>
      </c>
      <c r="CN33" s="30">
        <f>2119560/1000</f>
        <v>2119.56</v>
      </c>
      <c r="CO33" s="33">
        <v>0</v>
      </c>
      <c r="CP33" s="33">
        <v>0</v>
      </c>
      <c r="CQ33" s="33">
        <f>249583/1000</f>
        <v>249.583</v>
      </c>
      <c r="CR33" s="33">
        <v>0</v>
      </c>
      <c r="CS33" s="33">
        <v>0</v>
      </c>
      <c r="CT33" s="33">
        <f>181000/1000</f>
        <v>181</v>
      </c>
      <c r="CU33" s="33">
        <v>0</v>
      </c>
      <c r="CV33" s="33">
        <v>0</v>
      </c>
      <c r="CW33" s="33">
        <f>17158150/1000</f>
        <v>17158.150000000001</v>
      </c>
      <c r="CX33" s="33">
        <v>0</v>
      </c>
      <c r="CY33" s="33">
        <v>0</v>
      </c>
      <c r="CZ33" s="33">
        <f>2035724/1000</f>
        <v>2035.7239999999999</v>
      </c>
      <c r="DA33" s="33">
        <v>0</v>
      </c>
      <c r="DB33" s="33">
        <f t="shared" si="71"/>
        <v>0</v>
      </c>
      <c r="DC33" s="33">
        <v>0</v>
      </c>
      <c r="DD33" s="33">
        <v>0</v>
      </c>
      <c r="DE33" s="33" t="s">
        <v>56</v>
      </c>
      <c r="DF33" s="33">
        <v>0</v>
      </c>
      <c r="DG33" s="33">
        <v>0</v>
      </c>
      <c r="DH33" s="33" t="s">
        <v>56</v>
      </c>
      <c r="DI33" s="33">
        <f>4439100/1000</f>
        <v>4439.1000000000004</v>
      </c>
      <c r="DJ33" s="33">
        <v>0</v>
      </c>
      <c r="DK33" s="33">
        <v>0</v>
      </c>
      <c r="DL33" s="33">
        <v>0</v>
      </c>
      <c r="DM33" s="33">
        <v>0</v>
      </c>
      <c r="DN33" s="33" t="s">
        <v>56</v>
      </c>
      <c r="DO33" s="33">
        <v>0</v>
      </c>
      <c r="DP33" s="33">
        <v>0</v>
      </c>
      <c r="DQ33" s="33" t="s">
        <v>56</v>
      </c>
      <c r="DR33" s="33">
        <v>0</v>
      </c>
      <c r="DS33" s="33">
        <v>0</v>
      </c>
      <c r="DT33" s="33" t="s">
        <v>56</v>
      </c>
      <c r="DU33" s="33">
        <v>0</v>
      </c>
      <c r="DV33" s="33">
        <v>0</v>
      </c>
      <c r="DW33" s="33" t="s">
        <v>56</v>
      </c>
      <c r="DX33" s="30">
        <f>5000000/1000</f>
        <v>5000</v>
      </c>
      <c r="DY33" s="31">
        <v>0</v>
      </c>
      <c r="DZ33" s="33">
        <v>0</v>
      </c>
      <c r="EA33" s="30">
        <v>0</v>
      </c>
      <c r="EB33" s="31">
        <v>0</v>
      </c>
      <c r="EC33" s="33" t="s">
        <v>56</v>
      </c>
      <c r="ED33" s="23">
        <f t="shared" si="55"/>
        <v>290750.10000000003</v>
      </c>
      <c r="EE33" s="23">
        <f t="shared" si="56"/>
        <v>79739.30124999999</v>
      </c>
      <c r="EF33" s="24">
        <f t="shared" si="57"/>
        <v>27.425373628418349</v>
      </c>
      <c r="EG33" s="34">
        <f>3020400/1000</f>
        <v>3020.4</v>
      </c>
      <c r="EH33" s="34">
        <v>839.4</v>
      </c>
      <c r="EI33" s="31">
        <f t="shared" si="26"/>
        <v>27.791021056813666</v>
      </c>
      <c r="EJ33" s="34">
        <v>0</v>
      </c>
      <c r="EK33" s="31">
        <v>0</v>
      </c>
      <c r="EL33" s="31" t="s">
        <v>56</v>
      </c>
      <c r="EM33" s="34">
        <v>0</v>
      </c>
      <c r="EN33" s="31">
        <v>0</v>
      </c>
      <c r="EO33" s="31" t="s">
        <v>56</v>
      </c>
      <c r="EP33" s="34">
        <v>70987.899999999994</v>
      </c>
      <c r="EQ33" s="31">
        <v>18650.044000000002</v>
      </c>
      <c r="ER33" s="31">
        <f t="shared" si="58"/>
        <v>26.272144971185234</v>
      </c>
      <c r="ES33" s="31">
        <v>179583.2</v>
      </c>
      <c r="ET33" s="31">
        <v>52560.9</v>
      </c>
      <c r="EU33" s="36">
        <f t="shared" si="59"/>
        <v>29.268272310550209</v>
      </c>
      <c r="EV33" s="34">
        <f>9024800/1000</f>
        <v>9024.7999999999993</v>
      </c>
      <c r="EW33" s="33">
        <v>1826.3</v>
      </c>
      <c r="EX33" s="33">
        <f t="shared" si="60"/>
        <v>20.236459533729281</v>
      </c>
      <c r="EY33" s="34">
        <f>2314800/1000</f>
        <v>2314.8000000000002</v>
      </c>
      <c r="EZ33" s="31">
        <v>0</v>
      </c>
      <c r="FA33" s="31">
        <f t="shared" si="30"/>
        <v>0</v>
      </c>
      <c r="FB33" s="34">
        <v>0</v>
      </c>
      <c r="FC33" s="31">
        <v>0</v>
      </c>
      <c r="FD33" s="31" t="s">
        <v>56</v>
      </c>
      <c r="FE33" s="34">
        <v>0</v>
      </c>
      <c r="FF33" s="31">
        <v>0</v>
      </c>
      <c r="FG33" s="31" t="s">
        <v>56</v>
      </c>
      <c r="FH33" s="34">
        <v>0</v>
      </c>
      <c r="FI33" s="31">
        <v>0</v>
      </c>
      <c r="FJ33" s="31" t="s">
        <v>56</v>
      </c>
      <c r="FK33" s="34">
        <f>210000/1000</f>
        <v>210</v>
      </c>
      <c r="FL33" s="31">
        <v>52.5</v>
      </c>
      <c r="FM33" s="31">
        <f t="shared" si="33"/>
        <v>25</v>
      </c>
      <c r="FN33" s="34">
        <f>8200/1000</f>
        <v>8.1999999999999993</v>
      </c>
      <c r="FO33" s="31">
        <v>0</v>
      </c>
      <c r="FP33" s="31">
        <f t="shared" si="34"/>
        <v>0</v>
      </c>
      <c r="FQ33" s="34">
        <f>95500/1000</f>
        <v>95.5</v>
      </c>
      <c r="FR33" s="31">
        <v>15.9</v>
      </c>
      <c r="FS33" s="31">
        <f t="shared" si="69"/>
        <v>16.649214659685864</v>
      </c>
      <c r="FT33" s="34">
        <v>0</v>
      </c>
      <c r="FU33" s="31">
        <v>0</v>
      </c>
      <c r="FV33" s="31" t="s">
        <v>56</v>
      </c>
      <c r="FW33" s="34">
        <f>579900/1000</f>
        <v>579.9</v>
      </c>
      <c r="FX33" s="31">
        <f>136555/1000</f>
        <v>136.55500000000001</v>
      </c>
      <c r="FY33" s="31">
        <f t="shared" si="36"/>
        <v>23.548025521641666</v>
      </c>
      <c r="FZ33" s="34">
        <f>419800/1000</f>
        <v>419.8</v>
      </c>
      <c r="GA33" s="31">
        <f>128110.2/1000</f>
        <v>128.11019999999999</v>
      </c>
      <c r="GB33" s="31">
        <f t="shared" si="37"/>
        <v>30.516960457360643</v>
      </c>
      <c r="GC33" s="34">
        <v>0</v>
      </c>
      <c r="GD33" s="31">
        <v>0</v>
      </c>
      <c r="GE33" s="31" t="s">
        <v>56</v>
      </c>
      <c r="GF33" s="35">
        <v>0</v>
      </c>
      <c r="GG33" s="31">
        <v>0</v>
      </c>
      <c r="GH33" s="31" t="s">
        <v>56</v>
      </c>
      <c r="GI33" s="35">
        <v>2053.1999999999998</v>
      </c>
      <c r="GJ33" s="31">
        <v>464.46307999999999</v>
      </c>
      <c r="GK33" s="31">
        <f t="shared" si="40"/>
        <v>22.621424118449255</v>
      </c>
      <c r="GL33" s="34">
        <v>0</v>
      </c>
      <c r="GM33" s="34">
        <v>0</v>
      </c>
      <c r="GN33" s="31" t="s">
        <v>56</v>
      </c>
      <c r="GO33" s="34">
        <v>0</v>
      </c>
      <c r="GP33" s="31">
        <v>0</v>
      </c>
      <c r="GQ33" s="31" t="s">
        <v>56</v>
      </c>
      <c r="GR33" s="34">
        <f>495700/1000</f>
        <v>495.7</v>
      </c>
      <c r="GS33" s="31">
        <v>116.7</v>
      </c>
      <c r="GT33" s="31">
        <f t="shared" si="87"/>
        <v>23.542465200726248</v>
      </c>
      <c r="GU33" s="34">
        <v>0</v>
      </c>
      <c r="GV33" s="31">
        <v>0</v>
      </c>
      <c r="GW33" s="31" t="s">
        <v>56</v>
      </c>
      <c r="GX33" s="34">
        <f>399800/1000</f>
        <v>399.8</v>
      </c>
      <c r="GY33" s="31">
        <v>0</v>
      </c>
      <c r="GZ33" s="31">
        <v>0</v>
      </c>
      <c r="HA33" s="31">
        <f>(202000+17220900)/1000</f>
        <v>17422.900000000001</v>
      </c>
      <c r="HB33" s="31">
        <f>3913928.97/1000</f>
        <v>3913.9289700000004</v>
      </c>
      <c r="HC33" s="36">
        <f t="shared" si="61"/>
        <v>22.464279597541168</v>
      </c>
      <c r="HD33" s="34">
        <f>4134000/1000</f>
        <v>4134</v>
      </c>
      <c r="HE33" s="31">
        <v>1034.5</v>
      </c>
      <c r="HF33" s="31">
        <f t="shared" si="62"/>
        <v>25.024189646831157</v>
      </c>
      <c r="HG33" s="28">
        <f t="shared" si="63"/>
        <v>9135.7999999999993</v>
      </c>
      <c r="HH33" s="28">
        <f t="shared" si="64"/>
        <v>0</v>
      </c>
      <c r="HI33" s="26">
        <f t="shared" si="46"/>
        <v>0</v>
      </c>
      <c r="HJ33" s="37">
        <v>0</v>
      </c>
      <c r="HK33" s="37">
        <v>0</v>
      </c>
      <c r="HL33" s="37" t="s">
        <v>56</v>
      </c>
      <c r="HM33" s="33">
        <v>0</v>
      </c>
      <c r="HN33" s="33">
        <v>0</v>
      </c>
      <c r="HO33" s="33" t="s">
        <v>56</v>
      </c>
      <c r="HP33" s="33">
        <f>9135800/1000</f>
        <v>9135.7999999999993</v>
      </c>
      <c r="HQ33" s="37">
        <v>0</v>
      </c>
      <c r="HR33" s="37">
        <v>0</v>
      </c>
      <c r="HS33" s="37">
        <v>0</v>
      </c>
      <c r="HT33" s="37">
        <v>0</v>
      </c>
      <c r="HU33" s="37" t="s">
        <v>56</v>
      </c>
      <c r="HV33" s="38">
        <v>0</v>
      </c>
      <c r="HW33" s="31">
        <v>0</v>
      </c>
      <c r="HX33" s="31" t="s">
        <v>56</v>
      </c>
      <c r="HY33" s="30">
        <v>0</v>
      </c>
      <c r="HZ33" s="31">
        <v>0</v>
      </c>
      <c r="IA33" s="31" t="s">
        <v>56</v>
      </c>
      <c r="IB33" s="31">
        <v>0</v>
      </c>
      <c r="IC33" s="31">
        <v>0</v>
      </c>
      <c r="ID33" s="31" t="s">
        <v>56</v>
      </c>
      <c r="IE33" s="31">
        <v>0</v>
      </c>
      <c r="IF33" s="31">
        <v>0</v>
      </c>
      <c r="IG33" s="31" t="s">
        <v>56</v>
      </c>
      <c r="IH33" s="31">
        <v>0</v>
      </c>
      <c r="II33" s="31">
        <v>0</v>
      </c>
      <c r="IJ33" s="31" t="s">
        <v>56</v>
      </c>
      <c r="IK33" s="31">
        <v>0</v>
      </c>
      <c r="IL33" s="31">
        <v>0</v>
      </c>
      <c r="IM33" s="31" t="s">
        <v>56</v>
      </c>
      <c r="IN33" s="31">
        <v>0</v>
      </c>
      <c r="IO33" s="31">
        <v>0</v>
      </c>
      <c r="IP33" s="31" t="s">
        <v>56</v>
      </c>
      <c r="IQ33" s="31">
        <v>0</v>
      </c>
      <c r="IR33" s="31">
        <v>0</v>
      </c>
      <c r="IS33" s="31" t="s">
        <v>56</v>
      </c>
      <c r="IT33" s="11">
        <f t="shared" si="65"/>
        <v>517557.51685000001</v>
      </c>
      <c r="IU33" s="10">
        <f t="shared" si="66"/>
        <v>132614.70124999998</v>
      </c>
      <c r="IV33" s="10">
        <f t="shared" si="67"/>
        <v>25.623181372599934</v>
      </c>
      <c r="IW33" s="16"/>
      <c r="IX33" s="16"/>
      <c r="IZ33" s="18"/>
    </row>
    <row r="34" spans="1:260" x14ac:dyDescent="0.2">
      <c r="A34" s="13" t="s">
        <v>37</v>
      </c>
      <c r="B34" s="23">
        <f t="shared" si="47"/>
        <v>193094</v>
      </c>
      <c r="C34" s="23">
        <f t="shared" si="48"/>
        <v>51274.400000000001</v>
      </c>
      <c r="D34" s="24">
        <f t="shared" si="49"/>
        <v>26.554113540555381</v>
      </c>
      <c r="E34" s="30">
        <v>193094</v>
      </c>
      <c r="F34" s="31">
        <v>51274.400000000001</v>
      </c>
      <c r="G34" s="31">
        <f t="shared" si="50"/>
        <v>26.554113540555381</v>
      </c>
      <c r="H34" s="30">
        <v>0</v>
      </c>
      <c r="I34" s="30">
        <v>0</v>
      </c>
      <c r="J34" s="31" t="s">
        <v>56</v>
      </c>
      <c r="K34" s="31">
        <v>0</v>
      </c>
      <c r="L34" s="31">
        <v>0</v>
      </c>
      <c r="M34" s="31" t="s">
        <v>56</v>
      </c>
      <c r="N34" s="23">
        <f t="shared" si="51"/>
        <v>102515.59256999999</v>
      </c>
      <c r="O34" s="23">
        <f t="shared" si="52"/>
        <v>388.3</v>
      </c>
      <c r="P34" s="24">
        <f t="shared" si="53"/>
        <v>0.37877164855176532</v>
      </c>
      <c r="Q34" s="31">
        <f>22348920/1000</f>
        <v>22348.92</v>
      </c>
      <c r="R34" s="31">
        <v>0</v>
      </c>
      <c r="S34" s="31">
        <f t="shared" si="68"/>
        <v>0</v>
      </c>
      <c r="T34" s="30">
        <v>0</v>
      </c>
      <c r="U34" s="31">
        <v>0</v>
      </c>
      <c r="V34" s="31" t="s">
        <v>56</v>
      </c>
      <c r="W34" s="30">
        <f>2800+(6980945.03)/1000</f>
        <v>9780.945029999999</v>
      </c>
      <c r="X34" s="31">
        <v>0</v>
      </c>
      <c r="Y34" s="31">
        <f t="shared" ref="Y34:Y38" si="88">X34/W34%</f>
        <v>0</v>
      </c>
      <c r="Z34" s="30">
        <f>1020214.28/1000</f>
        <v>1020.21428</v>
      </c>
      <c r="AA34" s="31">
        <v>0</v>
      </c>
      <c r="AB34" s="31">
        <v>0</v>
      </c>
      <c r="AC34" s="30">
        <v>0</v>
      </c>
      <c r="AD34" s="31">
        <v>0</v>
      </c>
      <c r="AE34" s="31" t="s">
        <v>56</v>
      </c>
      <c r="AF34" s="30">
        <v>0</v>
      </c>
      <c r="AG34" s="31">
        <v>0</v>
      </c>
      <c r="AH34" s="31" t="s">
        <v>56</v>
      </c>
      <c r="AI34" s="30">
        <v>0</v>
      </c>
      <c r="AJ34" s="30">
        <v>0</v>
      </c>
      <c r="AK34" s="31" t="s">
        <v>56</v>
      </c>
      <c r="AL34" s="31">
        <f>5705500/1000</f>
        <v>5705.5</v>
      </c>
      <c r="AM34" s="31">
        <v>0</v>
      </c>
      <c r="AN34" s="31">
        <v>0</v>
      </c>
      <c r="AO34" s="31">
        <v>0</v>
      </c>
      <c r="AP34" s="31">
        <v>0</v>
      </c>
      <c r="AQ34" s="31" t="s">
        <v>56</v>
      </c>
      <c r="AR34" s="31">
        <f>374240/1000</f>
        <v>374.24</v>
      </c>
      <c r="AS34" s="31">
        <v>0</v>
      </c>
      <c r="AT34" s="31">
        <v>0</v>
      </c>
      <c r="AU34" s="30">
        <f>445379.85/1000</f>
        <v>445.37984999999998</v>
      </c>
      <c r="AV34" s="31">
        <v>0</v>
      </c>
      <c r="AW34" s="31">
        <v>0</v>
      </c>
      <c r="AX34" s="30">
        <v>0</v>
      </c>
      <c r="AY34" s="31">
        <v>0</v>
      </c>
      <c r="AZ34" s="31" t="s">
        <v>56</v>
      </c>
      <c r="BA34" s="30">
        <v>0</v>
      </c>
      <c r="BB34" s="31">
        <v>0</v>
      </c>
      <c r="BC34" s="31" t="s">
        <v>56</v>
      </c>
      <c r="BD34" s="30">
        <f>100654.23/1000</f>
        <v>100.65423</v>
      </c>
      <c r="BE34" s="31">
        <v>0</v>
      </c>
      <c r="BF34" s="31">
        <v>0</v>
      </c>
      <c r="BG34" s="30">
        <v>0</v>
      </c>
      <c r="BH34" s="31">
        <v>0</v>
      </c>
      <c r="BI34" s="31" t="s">
        <v>56</v>
      </c>
      <c r="BJ34" s="30">
        <v>0</v>
      </c>
      <c r="BK34" s="31">
        <v>0</v>
      </c>
      <c r="BL34" s="31" t="s">
        <v>56</v>
      </c>
      <c r="BM34" s="30">
        <v>0</v>
      </c>
      <c r="BN34" s="31">
        <v>0</v>
      </c>
      <c r="BO34" s="31" t="s">
        <v>56</v>
      </c>
      <c r="BP34" s="30">
        <v>0</v>
      </c>
      <c r="BQ34" s="31">
        <v>0</v>
      </c>
      <c r="BR34" s="31" t="s">
        <v>56</v>
      </c>
      <c r="BS34" s="30">
        <v>0</v>
      </c>
      <c r="BT34" s="31">
        <v>0</v>
      </c>
      <c r="BU34" s="31" t="s">
        <v>56</v>
      </c>
      <c r="BV34" s="31">
        <v>0</v>
      </c>
      <c r="BW34" s="31">
        <v>0</v>
      </c>
      <c r="BX34" s="31" t="s">
        <v>56</v>
      </c>
      <c r="BY34" s="31">
        <v>3335.4</v>
      </c>
      <c r="BZ34" s="31">
        <v>388.3</v>
      </c>
      <c r="CA34" s="32">
        <f t="shared" si="54"/>
        <v>11.641782095101037</v>
      </c>
      <c r="CB34" s="30">
        <v>0</v>
      </c>
      <c r="CC34" s="30">
        <v>0</v>
      </c>
      <c r="CD34" s="33" t="s">
        <v>56</v>
      </c>
      <c r="CE34" s="30">
        <v>0</v>
      </c>
      <c r="CF34" s="30">
        <v>0</v>
      </c>
      <c r="CG34" s="33" t="s">
        <v>56</v>
      </c>
      <c r="CH34" s="33">
        <v>0</v>
      </c>
      <c r="CI34" s="33">
        <v>0</v>
      </c>
      <c r="CJ34" s="33" t="s">
        <v>56</v>
      </c>
      <c r="CK34" s="30">
        <v>0</v>
      </c>
      <c r="CL34" s="30">
        <v>0</v>
      </c>
      <c r="CM34" s="33" t="s">
        <v>56</v>
      </c>
      <c r="CN34" s="30">
        <f>(610470+5988510)/1000</f>
        <v>6598.98</v>
      </c>
      <c r="CO34" s="33">
        <v>0</v>
      </c>
      <c r="CP34" s="33">
        <v>0</v>
      </c>
      <c r="CQ34" s="33">
        <f>285528.59/1000</f>
        <v>285.52859000000001</v>
      </c>
      <c r="CR34" s="33">
        <v>0</v>
      </c>
      <c r="CS34" s="33">
        <v>0</v>
      </c>
      <c r="CT34" s="33">
        <v>0</v>
      </c>
      <c r="CU34" s="33">
        <v>0</v>
      </c>
      <c r="CV34" s="33" t="s">
        <v>56</v>
      </c>
      <c r="CW34" s="33">
        <f>13624547/1000</f>
        <v>13624.547</v>
      </c>
      <c r="CX34" s="33">
        <v>0</v>
      </c>
      <c r="CY34" s="33">
        <v>0</v>
      </c>
      <c r="CZ34" s="33">
        <f>2035724/1000</f>
        <v>2035.7239999999999</v>
      </c>
      <c r="DA34" s="33">
        <v>0</v>
      </c>
      <c r="DB34" s="33">
        <f t="shared" si="71"/>
        <v>0</v>
      </c>
      <c r="DC34" s="33">
        <f>11085359.59/1000</f>
        <v>11085.35959</v>
      </c>
      <c r="DD34" s="33">
        <v>0</v>
      </c>
      <c r="DE34" s="33">
        <v>0</v>
      </c>
      <c r="DF34" s="33">
        <v>0</v>
      </c>
      <c r="DG34" s="33">
        <v>0</v>
      </c>
      <c r="DH34" s="33" t="s">
        <v>56</v>
      </c>
      <c r="DI34" s="33">
        <f>14208200/1000</f>
        <v>14208.2</v>
      </c>
      <c r="DJ34" s="33">
        <v>0</v>
      </c>
      <c r="DK34" s="33">
        <v>0</v>
      </c>
      <c r="DL34" s="33">
        <v>0</v>
      </c>
      <c r="DM34" s="33">
        <v>0</v>
      </c>
      <c r="DN34" s="33" t="s">
        <v>56</v>
      </c>
      <c r="DO34" s="33">
        <v>0</v>
      </c>
      <c r="DP34" s="33">
        <v>0</v>
      </c>
      <c r="DQ34" s="33" t="s">
        <v>56</v>
      </c>
      <c r="DR34" s="33">
        <f>6566000/1000</f>
        <v>6566</v>
      </c>
      <c r="DS34" s="33">
        <v>0</v>
      </c>
      <c r="DT34" s="33">
        <f t="shared" si="72"/>
        <v>0</v>
      </c>
      <c r="DU34" s="33">
        <v>0</v>
      </c>
      <c r="DV34" s="33">
        <v>0</v>
      </c>
      <c r="DW34" s="33" t="s">
        <v>56</v>
      </c>
      <c r="DX34" s="30">
        <v>5000</v>
      </c>
      <c r="DY34" s="31">
        <v>0</v>
      </c>
      <c r="DZ34" s="33">
        <v>0</v>
      </c>
      <c r="EA34" s="30">
        <v>0</v>
      </c>
      <c r="EB34" s="31">
        <v>0</v>
      </c>
      <c r="EC34" s="33" t="s">
        <v>56</v>
      </c>
      <c r="ED34" s="23">
        <f t="shared" si="55"/>
        <v>564195.38400000008</v>
      </c>
      <c r="EE34" s="23">
        <f t="shared" si="56"/>
        <v>106075.74063000001</v>
      </c>
      <c r="EF34" s="24">
        <f t="shared" si="57"/>
        <v>18.801242200521088</v>
      </c>
      <c r="EG34" s="34">
        <f>3982500/1000</f>
        <v>3982.5</v>
      </c>
      <c r="EH34" s="34">
        <v>675.5</v>
      </c>
      <c r="EI34" s="31">
        <f t="shared" si="26"/>
        <v>16.961707470182045</v>
      </c>
      <c r="EJ34" s="34">
        <v>0</v>
      </c>
      <c r="EK34" s="31">
        <v>0</v>
      </c>
      <c r="EL34" s="31" t="s">
        <v>56</v>
      </c>
      <c r="EM34" s="34">
        <f>1337/1000</f>
        <v>1.337</v>
      </c>
      <c r="EN34" s="31">
        <v>0</v>
      </c>
      <c r="EO34" s="31">
        <f t="shared" si="29"/>
        <v>0</v>
      </c>
      <c r="EP34" s="34">
        <v>140424.70000000001</v>
      </c>
      <c r="EQ34" s="31">
        <v>25477.724999999999</v>
      </c>
      <c r="ER34" s="31">
        <f t="shared" si="58"/>
        <v>18.14333589461113</v>
      </c>
      <c r="ES34" s="31">
        <v>370559.2</v>
      </c>
      <c r="ET34" s="31">
        <v>69906.899999999994</v>
      </c>
      <c r="EU34" s="36">
        <f t="shared" si="59"/>
        <v>18.865244743619911</v>
      </c>
      <c r="EV34" s="34">
        <f>10791900/1000</f>
        <v>10791.9</v>
      </c>
      <c r="EW34" s="33">
        <v>2979.2</v>
      </c>
      <c r="EX34" s="33">
        <f t="shared" si="60"/>
        <v>27.605889602386974</v>
      </c>
      <c r="EY34" s="34">
        <f>4754800/1000</f>
        <v>4754.8</v>
      </c>
      <c r="EZ34" s="31">
        <v>0</v>
      </c>
      <c r="FA34" s="31">
        <f t="shared" si="30"/>
        <v>0</v>
      </c>
      <c r="FB34" s="34">
        <v>0</v>
      </c>
      <c r="FC34" s="31">
        <v>0</v>
      </c>
      <c r="FD34" s="31" t="s">
        <v>56</v>
      </c>
      <c r="FE34" s="34">
        <v>0</v>
      </c>
      <c r="FF34" s="31">
        <v>0</v>
      </c>
      <c r="FG34" s="31" t="s">
        <v>56</v>
      </c>
      <c r="FH34" s="34">
        <f>3021547/1000</f>
        <v>3021.547</v>
      </c>
      <c r="FI34" s="31">
        <f>608369.42/1000</f>
        <v>608.36941999999999</v>
      </c>
      <c r="FJ34" s="31">
        <f t="shared" si="31"/>
        <v>20.134368917643844</v>
      </c>
      <c r="FK34" s="34">
        <f>315000/1000</f>
        <v>315</v>
      </c>
      <c r="FL34" s="31">
        <v>78.900000000000006</v>
      </c>
      <c r="FM34" s="31">
        <f t="shared" si="33"/>
        <v>25.047619047619051</v>
      </c>
      <c r="FN34" s="34">
        <f>3300/1000</f>
        <v>3.3</v>
      </c>
      <c r="FO34" s="31">
        <v>0</v>
      </c>
      <c r="FP34" s="31">
        <f t="shared" si="34"/>
        <v>0</v>
      </c>
      <c r="FQ34" s="34">
        <f>127300/1000</f>
        <v>127.3</v>
      </c>
      <c r="FR34" s="31">
        <v>26.6</v>
      </c>
      <c r="FS34" s="31">
        <f t="shared" si="69"/>
        <v>20.895522388059703</v>
      </c>
      <c r="FT34" s="34">
        <f>1500/1000</f>
        <v>1.5</v>
      </c>
      <c r="FU34" s="31">
        <v>0</v>
      </c>
      <c r="FV34" s="31">
        <f t="shared" si="73"/>
        <v>0</v>
      </c>
      <c r="FW34" s="34">
        <f>650600/1000</f>
        <v>650.6</v>
      </c>
      <c r="FX34" s="31">
        <f>112282/1000</f>
        <v>112.282</v>
      </c>
      <c r="FY34" s="31">
        <f t="shared" si="36"/>
        <v>17.258223178604364</v>
      </c>
      <c r="FZ34" s="34">
        <f>467600/1000</f>
        <v>467.6</v>
      </c>
      <c r="GA34" s="31">
        <f>103902/1000</f>
        <v>103.902</v>
      </c>
      <c r="GB34" s="31">
        <f t="shared" si="37"/>
        <v>22.220273738237811</v>
      </c>
      <c r="GC34" s="34">
        <v>0</v>
      </c>
      <c r="GD34" s="31">
        <v>0</v>
      </c>
      <c r="GE34" s="31" t="s">
        <v>56</v>
      </c>
      <c r="GF34" s="35">
        <v>0</v>
      </c>
      <c r="GG34" s="31">
        <v>0</v>
      </c>
      <c r="GH34" s="31" t="s">
        <v>56</v>
      </c>
      <c r="GI34" s="35">
        <v>2918</v>
      </c>
      <c r="GJ34" s="31">
        <v>631.7885</v>
      </c>
      <c r="GK34" s="31">
        <f t="shared" si="40"/>
        <v>21.651422206991089</v>
      </c>
      <c r="GL34" s="34">
        <v>0</v>
      </c>
      <c r="GM34" s="34">
        <v>0</v>
      </c>
      <c r="GN34" s="31" t="s">
        <v>56</v>
      </c>
      <c r="GO34" s="34">
        <f>260000/1000</f>
        <v>260</v>
      </c>
      <c r="GP34" s="31">
        <f>64986/1000</f>
        <v>64.986000000000004</v>
      </c>
      <c r="GQ34" s="31">
        <f t="shared" si="83"/>
        <v>24.994615384615386</v>
      </c>
      <c r="GR34" s="34">
        <f>1433400/1000</f>
        <v>1433.4</v>
      </c>
      <c r="GS34" s="31">
        <v>170</v>
      </c>
      <c r="GT34" s="31">
        <f t="shared" si="87"/>
        <v>11.859913492395702</v>
      </c>
      <c r="GU34" s="34">
        <f>1794000/1000</f>
        <v>1794</v>
      </c>
      <c r="GV34" s="31">
        <v>0</v>
      </c>
      <c r="GW34" s="31">
        <f t="shared" si="43"/>
        <v>0</v>
      </c>
      <c r="GX34" s="34">
        <f>521100/1000</f>
        <v>521.1</v>
      </c>
      <c r="GY34" s="31">
        <v>0</v>
      </c>
      <c r="GZ34" s="31">
        <v>0</v>
      </c>
      <c r="HA34" s="31">
        <f>(202000+17189600)/1000</f>
        <v>17391.599999999999</v>
      </c>
      <c r="HB34" s="31">
        <f>4045587.71/1000</f>
        <v>4045.5877099999998</v>
      </c>
      <c r="HC34" s="36">
        <f t="shared" si="61"/>
        <v>23.261733883023989</v>
      </c>
      <c r="HD34" s="34">
        <f>4776000/1000</f>
        <v>4776</v>
      </c>
      <c r="HE34" s="31">
        <v>1194</v>
      </c>
      <c r="HF34" s="31">
        <f t="shared" si="62"/>
        <v>25</v>
      </c>
      <c r="HG34" s="28">
        <f t="shared" si="63"/>
        <v>10520.8</v>
      </c>
      <c r="HH34" s="28">
        <f t="shared" si="64"/>
        <v>0</v>
      </c>
      <c r="HI34" s="26">
        <f t="shared" si="46"/>
        <v>0</v>
      </c>
      <c r="HJ34" s="37">
        <v>0</v>
      </c>
      <c r="HK34" s="37">
        <v>0</v>
      </c>
      <c r="HL34" s="37" t="s">
        <v>56</v>
      </c>
      <c r="HM34" s="33">
        <v>0</v>
      </c>
      <c r="HN34" s="33">
        <v>0</v>
      </c>
      <c r="HO34" s="33" t="s">
        <v>56</v>
      </c>
      <c r="HP34" s="33">
        <f>10520800/1000</f>
        <v>10520.8</v>
      </c>
      <c r="HQ34" s="37">
        <v>0</v>
      </c>
      <c r="HR34" s="37">
        <v>0</v>
      </c>
      <c r="HS34" s="37">
        <v>0</v>
      </c>
      <c r="HT34" s="37">
        <v>0</v>
      </c>
      <c r="HU34" s="37" t="s">
        <v>56</v>
      </c>
      <c r="HV34" s="30">
        <v>0</v>
      </c>
      <c r="HW34" s="31">
        <v>0</v>
      </c>
      <c r="HX34" s="31" t="s">
        <v>56</v>
      </c>
      <c r="HY34" s="30">
        <v>0</v>
      </c>
      <c r="HZ34" s="31">
        <v>0</v>
      </c>
      <c r="IA34" s="31" t="s">
        <v>56</v>
      </c>
      <c r="IB34" s="31">
        <v>0</v>
      </c>
      <c r="IC34" s="31">
        <v>0</v>
      </c>
      <c r="ID34" s="31" t="s">
        <v>56</v>
      </c>
      <c r="IE34" s="31">
        <v>0</v>
      </c>
      <c r="IF34" s="31">
        <v>0</v>
      </c>
      <c r="IG34" s="31" t="s">
        <v>56</v>
      </c>
      <c r="IH34" s="31">
        <v>0</v>
      </c>
      <c r="II34" s="31">
        <v>0</v>
      </c>
      <c r="IJ34" s="31" t="s">
        <v>56</v>
      </c>
      <c r="IK34" s="31">
        <v>0</v>
      </c>
      <c r="IL34" s="31">
        <v>0</v>
      </c>
      <c r="IM34" s="31" t="s">
        <v>56</v>
      </c>
      <c r="IN34" s="31">
        <v>0</v>
      </c>
      <c r="IO34" s="31">
        <v>0</v>
      </c>
      <c r="IP34" s="31" t="s">
        <v>56</v>
      </c>
      <c r="IQ34" s="31">
        <v>0</v>
      </c>
      <c r="IR34" s="31">
        <v>0</v>
      </c>
      <c r="IS34" s="31" t="s">
        <v>56</v>
      </c>
      <c r="IT34" s="11">
        <f t="shared" si="65"/>
        <v>870325.7765700001</v>
      </c>
      <c r="IU34" s="10">
        <f t="shared" si="66"/>
        <v>157738.44063000003</v>
      </c>
      <c r="IV34" s="10">
        <f t="shared" si="67"/>
        <v>18.124068581727588</v>
      </c>
      <c r="IW34" s="16"/>
      <c r="IX34" s="16"/>
      <c r="IZ34" s="18"/>
    </row>
    <row r="35" spans="1:260" x14ac:dyDescent="0.2">
      <c r="A35" s="13" t="s">
        <v>38</v>
      </c>
      <c r="B35" s="23">
        <f t="shared" si="47"/>
        <v>211824</v>
      </c>
      <c r="C35" s="23">
        <f t="shared" si="48"/>
        <v>52956</v>
      </c>
      <c r="D35" s="24">
        <f t="shared" si="49"/>
        <v>25</v>
      </c>
      <c r="E35" s="30">
        <v>211824</v>
      </c>
      <c r="F35" s="31">
        <v>52956</v>
      </c>
      <c r="G35" s="31">
        <f t="shared" si="50"/>
        <v>25</v>
      </c>
      <c r="H35" s="30">
        <v>0</v>
      </c>
      <c r="I35" s="30">
        <v>0</v>
      </c>
      <c r="J35" s="31" t="s">
        <v>56</v>
      </c>
      <c r="K35" s="31">
        <v>0</v>
      </c>
      <c r="L35" s="31">
        <v>0</v>
      </c>
      <c r="M35" s="31" t="s">
        <v>56</v>
      </c>
      <c r="N35" s="23">
        <f t="shared" si="51"/>
        <v>319100.74916000001</v>
      </c>
      <c r="O35" s="23">
        <f t="shared" si="52"/>
        <v>124</v>
      </c>
      <c r="P35" s="24">
        <f t="shared" si="53"/>
        <v>3.8859200527237021E-2</v>
      </c>
      <c r="Q35" s="31">
        <f>37987220/1000</f>
        <v>37987.22</v>
      </c>
      <c r="R35" s="31">
        <v>0</v>
      </c>
      <c r="S35" s="31">
        <f t="shared" si="68"/>
        <v>0</v>
      </c>
      <c r="T35" s="30">
        <v>0</v>
      </c>
      <c r="U35" s="31">
        <v>0</v>
      </c>
      <c r="V35" s="31" t="s">
        <v>56</v>
      </c>
      <c r="W35" s="30">
        <f>15712488.87/1000</f>
        <v>15712.488869999999</v>
      </c>
      <c r="X35" s="31">
        <v>0</v>
      </c>
      <c r="Y35" s="31">
        <v>0</v>
      </c>
      <c r="Z35" s="30">
        <f>1020214.28/1000</f>
        <v>1020.21428</v>
      </c>
      <c r="AA35" s="31">
        <v>0</v>
      </c>
      <c r="AB35" s="31">
        <v>0</v>
      </c>
      <c r="AC35" s="30">
        <v>0</v>
      </c>
      <c r="AD35" s="31">
        <v>0</v>
      </c>
      <c r="AE35" s="31" t="s">
        <v>56</v>
      </c>
      <c r="AF35" s="30">
        <v>0</v>
      </c>
      <c r="AG35" s="31">
        <v>0</v>
      </c>
      <c r="AH35" s="31" t="s">
        <v>56</v>
      </c>
      <c r="AI35" s="30">
        <v>0</v>
      </c>
      <c r="AJ35" s="30">
        <v>0</v>
      </c>
      <c r="AK35" s="31" t="s">
        <v>56</v>
      </c>
      <c r="AL35" s="31">
        <f>4302700/1000</f>
        <v>4302.7</v>
      </c>
      <c r="AM35" s="31">
        <v>0</v>
      </c>
      <c r="AN35" s="31">
        <v>0</v>
      </c>
      <c r="AO35" s="31">
        <v>0</v>
      </c>
      <c r="AP35" s="31">
        <v>0</v>
      </c>
      <c r="AQ35" s="31" t="s">
        <v>56</v>
      </c>
      <c r="AR35" s="31">
        <v>0</v>
      </c>
      <c r="AS35" s="31">
        <v>0</v>
      </c>
      <c r="AT35" s="31" t="s">
        <v>56</v>
      </c>
      <c r="AU35" s="30">
        <f>668069.78/1000</f>
        <v>668.06978000000004</v>
      </c>
      <c r="AV35" s="31">
        <v>0</v>
      </c>
      <c r="AW35" s="31">
        <v>0</v>
      </c>
      <c r="AX35" s="30">
        <v>0</v>
      </c>
      <c r="AY35" s="31">
        <v>0</v>
      </c>
      <c r="AZ35" s="31" t="s">
        <v>56</v>
      </c>
      <c r="BA35" s="30">
        <v>0</v>
      </c>
      <c r="BB35" s="31">
        <v>0</v>
      </c>
      <c r="BC35" s="31" t="s">
        <v>56</v>
      </c>
      <c r="BD35" s="30">
        <f>100654.23/1000</f>
        <v>100.65423</v>
      </c>
      <c r="BE35" s="31">
        <v>0</v>
      </c>
      <c r="BF35" s="31">
        <f t="shared" ref="BF35" si="89">BE35/BD35%</f>
        <v>0</v>
      </c>
      <c r="BG35" s="30">
        <f>150000/1000</f>
        <v>150</v>
      </c>
      <c r="BH35" s="31">
        <v>0</v>
      </c>
      <c r="BI35" s="31">
        <v>0</v>
      </c>
      <c r="BJ35" s="30">
        <v>0</v>
      </c>
      <c r="BK35" s="31">
        <v>0</v>
      </c>
      <c r="BL35" s="31" t="s">
        <v>56</v>
      </c>
      <c r="BM35" s="30">
        <v>0</v>
      </c>
      <c r="BN35" s="31">
        <v>0</v>
      </c>
      <c r="BO35" s="31" t="s">
        <v>56</v>
      </c>
      <c r="BP35" s="30">
        <v>0</v>
      </c>
      <c r="BQ35" s="31">
        <v>0</v>
      </c>
      <c r="BR35" s="31" t="s">
        <v>56</v>
      </c>
      <c r="BS35" s="30">
        <f>195607230/1000</f>
        <v>195607.23</v>
      </c>
      <c r="BT35" s="31">
        <v>0</v>
      </c>
      <c r="BU35" s="31">
        <v>0</v>
      </c>
      <c r="BV35" s="31">
        <v>0</v>
      </c>
      <c r="BW35" s="31">
        <v>0</v>
      </c>
      <c r="BX35" s="31" t="s">
        <v>56</v>
      </c>
      <c r="BY35" s="31">
        <v>3128.1</v>
      </c>
      <c r="BZ35" s="31">
        <v>124</v>
      </c>
      <c r="CA35" s="32">
        <f t="shared" si="54"/>
        <v>3.9640676448962631</v>
      </c>
      <c r="CB35" s="30">
        <v>0</v>
      </c>
      <c r="CC35" s="30">
        <v>0</v>
      </c>
      <c r="CD35" s="33" t="s">
        <v>56</v>
      </c>
      <c r="CE35" s="30">
        <v>0</v>
      </c>
      <c r="CF35" s="30">
        <v>0</v>
      </c>
      <c r="CG35" s="33" t="s">
        <v>56</v>
      </c>
      <c r="CH35" s="33">
        <v>0</v>
      </c>
      <c r="CI35" s="33">
        <v>0</v>
      </c>
      <c r="CJ35" s="33" t="s">
        <v>56</v>
      </c>
      <c r="CK35" s="30">
        <v>0</v>
      </c>
      <c r="CL35" s="30">
        <v>0</v>
      </c>
      <c r="CM35" s="33" t="s">
        <v>56</v>
      </c>
      <c r="CN35" s="30">
        <f>8231800/1000</f>
        <v>8231.7999999999993</v>
      </c>
      <c r="CO35" s="33">
        <v>0</v>
      </c>
      <c r="CP35" s="33">
        <v>0</v>
      </c>
      <c r="CQ35" s="33">
        <v>0</v>
      </c>
      <c r="CR35" s="33">
        <v>0</v>
      </c>
      <c r="CS35" s="33" t="s">
        <v>56</v>
      </c>
      <c r="CT35" s="33">
        <v>0</v>
      </c>
      <c r="CU35" s="33">
        <v>0</v>
      </c>
      <c r="CV35" s="33" t="s">
        <v>56</v>
      </c>
      <c r="CW35" s="33">
        <f>9473947/1000</f>
        <v>9473.9470000000001</v>
      </c>
      <c r="CX35" s="33">
        <v>0</v>
      </c>
      <c r="CY35" s="33">
        <v>0</v>
      </c>
      <c r="CZ35" s="33">
        <f>2035725/1000</f>
        <v>2035.7249999999999</v>
      </c>
      <c r="DA35" s="33">
        <v>0</v>
      </c>
      <c r="DB35" s="33">
        <f t="shared" si="71"/>
        <v>0</v>
      </c>
      <c r="DC35" s="33">
        <f>10692000/1000</f>
        <v>10692</v>
      </c>
      <c r="DD35" s="33">
        <v>0</v>
      </c>
      <c r="DE35" s="33">
        <v>0</v>
      </c>
      <c r="DF35" s="33">
        <v>0</v>
      </c>
      <c r="DG35" s="33">
        <v>0</v>
      </c>
      <c r="DH35" s="33" t="s">
        <v>56</v>
      </c>
      <c r="DI35" s="33">
        <f>18129900/1000</f>
        <v>18129.900000000001</v>
      </c>
      <c r="DJ35" s="33">
        <v>0</v>
      </c>
      <c r="DK35" s="33">
        <v>0</v>
      </c>
      <c r="DL35" s="33">
        <f>1100000/1000</f>
        <v>1100</v>
      </c>
      <c r="DM35" s="33">
        <v>0</v>
      </c>
      <c r="DN35" s="33">
        <v>0</v>
      </c>
      <c r="DO35" s="33">
        <v>0</v>
      </c>
      <c r="DP35" s="33">
        <v>0</v>
      </c>
      <c r="DQ35" s="33" t="s">
        <v>56</v>
      </c>
      <c r="DR35" s="33">
        <f>10760700/1000</f>
        <v>10760.7</v>
      </c>
      <c r="DS35" s="33">
        <v>0</v>
      </c>
      <c r="DT35" s="33">
        <f t="shared" si="72"/>
        <v>0</v>
      </c>
      <c r="DU35" s="33">
        <v>0</v>
      </c>
      <c r="DV35" s="33">
        <v>0</v>
      </c>
      <c r="DW35" s="33" t="s">
        <v>56</v>
      </c>
      <c r="DX35" s="30">
        <v>0</v>
      </c>
      <c r="DY35" s="31">
        <v>0</v>
      </c>
      <c r="DZ35" s="33" t="s">
        <v>56</v>
      </c>
      <c r="EA35" s="30">
        <v>0</v>
      </c>
      <c r="EB35" s="31">
        <v>0</v>
      </c>
      <c r="EC35" s="33" t="s">
        <v>56</v>
      </c>
      <c r="ED35" s="23">
        <f t="shared" si="55"/>
        <v>730851.22899999993</v>
      </c>
      <c r="EE35" s="23">
        <f t="shared" si="56"/>
        <v>209343.04684</v>
      </c>
      <c r="EF35" s="24">
        <f t="shared" si="57"/>
        <v>28.643729193209033</v>
      </c>
      <c r="EG35" s="34">
        <f>7983600/1000</f>
        <v>7983.6</v>
      </c>
      <c r="EH35" s="34">
        <v>1760</v>
      </c>
      <c r="EI35" s="31">
        <f t="shared" si="26"/>
        <v>22.045192644922089</v>
      </c>
      <c r="EJ35" s="34">
        <v>0</v>
      </c>
      <c r="EK35" s="31">
        <v>0</v>
      </c>
      <c r="EL35" s="31" t="s">
        <v>56</v>
      </c>
      <c r="EM35" s="34">
        <f>5724/1000</f>
        <v>5.7240000000000002</v>
      </c>
      <c r="EN35" s="31">
        <v>0</v>
      </c>
      <c r="EO35" s="31">
        <f t="shared" si="29"/>
        <v>0</v>
      </c>
      <c r="EP35" s="34">
        <v>202481.5</v>
      </c>
      <c r="EQ35" s="31">
        <v>45866.71</v>
      </c>
      <c r="ER35" s="31">
        <f t="shared" si="58"/>
        <v>22.652296629568625</v>
      </c>
      <c r="ES35" s="31">
        <v>424543.1</v>
      </c>
      <c r="ET35" s="31">
        <v>141117.29999999999</v>
      </c>
      <c r="EU35" s="36">
        <f t="shared" si="59"/>
        <v>33.239805334252281</v>
      </c>
      <c r="EV35" s="34">
        <f>7635600/1000</f>
        <v>7635.6</v>
      </c>
      <c r="EW35" s="33">
        <v>2877</v>
      </c>
      <c r="EX35" s="33">
        <f t="shared" si="60"/>
        <v>37.678767876787674</v>
      </c>
      <c r="EY35" s="34">
        <f>5831500/1000</f>
        <v>5831.5</v>
      </c>
      <c r="EZ35" s="31">
        <v>0</v>
      </c>
      <c r="FA35" s="31">
        <f t="shared" si="30"/>
        <v>0</v>
      </c>
      <c r="FB35" s="34">
        <v>0</v>
      </c>
      <c r="FC35" s="31">
        <v>0</v>
      </c>
      <c r="FD35" s="31" t="s">
        <v>56</v>
      </c>
      <c r="FE35" s="34">
        <v>0</v>
      </c>
      <c r="FF35" s="31">
        <v>0</v>
      </c>
      <c r="FG35" s="31" t="s">
        <v>56</v>
      </c>
      <c r="FH35" s="34">
        <f>16394805/1000</f>
        <v>16394.805</v>
      </c>
      <c r="FI35" s="31">
        <f>4157226/1000</f>
        <v>4157.2259999999997</v>
      </c>
      <c r="FJ35" s="31">
        <f t="shared" si="31"/>
        <v>25.356971308899372</v>
      </c>
      <c r="FK35" s="34">
        <f>402500/1000</f>
        <v>402.5</v>
      </c>
      <c r="FL35" s="31">
        <v>100.5</v>
      </c>
      <c r="FM35" s="31">
        <f t="shared" si="33"/>
        <v>24.968944099378881</v>
      </c>
      <c r="FN35" s="34">
        <f>18300/1000</f>
        <v>18.3</v>
      </c>
      <c r="FO35" s="31">
        <v>0</v>
      </c>
      <c r="FP35" s="31">
        <f t="shared" si="34"/>
        <v>0</v>
      </c>
      <c r="FQ35" s="34">
        <f>95500/1000</f>
        <v>95.5</v>
      </c>
      <c r="FR35" s="31">
        <v>24</v>
      </c>
      <c r="FS35" s="31">
        <f t="shared" si="69"/>
        <v>25.130890052356023</v>
      </c>
      <c r="FT35" s="34">
        <v>0</v>
      </c>
      <c r="FU35" s="31">
        <v>0</v>
      </c>
      <c r="FV35" s="31" t="s">
        <v>56</v>
      </c>
      <c r="FW35" s="34">
        <f>1286400/1000</f>
        <v>1286.4000000000001</v>
      </c>
      <c r="FX35" s="31">
        <f>235342/1000</f>
        <v>235.34200000000001</v>
      </c>
      <c r="FY35" s="31">
        <f t="shared" si="36"/>
        <v>18.29462064676617</v>
      </c>
      <c r="FZ35" s="34">
        <f>464000/1000</f>
        <v>464</v>
      </c>
      <c r="GA35" s="31">
        <f>96842.9/1000</f>
        <v>96.8429</v>
      </c>
      <c r="GB35" s="31">
        <f t="shared" si="37"/>
        <v>20.871314655172416</v>
      </c>
      <c r="GC35" s="34">
        <v>0</v>
      </c>
      <c r="GD35" s="31">
        <v>0</v>
      </c>
      <c r="GE35" s="31" t="s">
        <v>56</v>
      </c>
      <c r="GF35" s="35">
        <f>13200/1000</f>
        <v>13.2</v>
      </c>
      <c r="GG35" s="31">
        <v>0</v>
      </c>
      <c r="GH35" s="31">
        <v>0</v>
      </c>
      <c r="GI35" s="35">
        <v>5453.4</v>
      </c>
      <c r="GJ35" s="31">
        <v>810.51650000000006</v>
      </c>
      <c r="GK35" s="31">
        <f t="shared" si="40"/>
        <v>14.862590310631902</v>
      </c>
      <c r="GL35" s="34">
        <v>0</v>
      </c>
      <c r="GM35" s="34">
        <v>0</v>
      </c>
      <c r="GN35" s="31" t="s">
        <v>56</v>
      </c>
      <c r="GO35" s="34">
        <f>560200/1000</f>
        <v>560.20000000000005</v>
      </c>
      <c r="GP35" s="31">
        <f>140034/1000</f>
        <v>140.03399999999999</v>
      </c>
      <c r="GQ35" s="31">
        <f t="shared" si="83"/>
        <v>24.997143877186716</v>
      </c>
      <c r="GR35" s="34">
        <f>1135700/1000</f>
        <v>1135.7</v>
      </c>
      <c r="GS35" s="31">
        <v>170</v>
      </c>
      <c r="GT35" s="31">
        <f t="shared" si="87"/>
        <v>14.968741745179184</v>
      </c>
      <c r="GU35" s="34">
        <v>0</v>
      </c>
      <c r="GV35" s="31">
        <v>0</v>
      </c>
      <c r="GW35" s="31" t="s">
        <v>56</v>
      </c>
      <c r="GX35" s="34">
        <f>808500/1000</f>
        <v>808.5</v>
      </c>
      <c r="GY35" s="31">
        <v>0</v>
      </c>
      <c r="GZ35" s="31">
        <v>0</v>
      </c>
      <c r="HA35" s="31">
        <f>(918900+45121800)/1000</f>
        <v>46040.7</v>
      </c>
      <c r="HB35" s="31">
        <f>10371375.44/1000</f>
        <v>10371.37544</v>
      </c>
      <c r="HC35" s="36">
        <f t="shared" si="61"/>
        <v>22.526537259424813</v>
      </c>
      <c r="HD35" s="34">
        <f>9697000/1000</f>
        <v>9697</v>
      </c>
      <c r="HE35" s="31">
        <v>1616.2</v>
      </c>
      <c r="HF35" s="31">
        <f t="shared" si="62"/>
        <v>16.667010415592451</v>
      </c>
      <c r="HG35" s="28">
        <f t="shared" si="63"/>
        <v>165688.45200000002</v>
      </c>
      <c r="HH35" s="28">
        <f t="shared" si="64"/>
        <v>0</v>
      </c>
      <c r="HI35" s="26">
        <f t="shared" si="46"/>
        <v>0</v>
      </c>
      <c r="HJ35" s="37">
        <v>0</v>
      </c>
      <c r="HK35" s="37">
        <v>0</v>
      </c>
      <c r="HL35" s="37" t="s">
        <v>56</v>
      </c>
      <c r="HM35" s="33">
        <v>0</v>
      </c>
      <c r="HN35" s="33">
        <v>0</v>
      </c>
      <c r="HO35" s="33" t="s">
        <v>56</v>
      </c>
      <c r="HP35" s="33">
        <f>21469800/1000</f>
        <v>21469.8</v>
      </c>
      <c r="HQ35" s="37">
        <v>0</v>
      </c>
      <c r="HR35" s="37">
        <v>0</v>
      </c>
      <c r="HS35" s="37">
        <v>0</v>
      </c>
      <c r="HT35" s="37">
        <v>0</v>
      </c>
      <c r="HU35" s="37" t="s">
        <v>56</v>
      </c>
      <c r="HV35" s="30">
        <f>5940000/1000</f>
        <v>5940</v>
      </c>
      <c r="HW35" s="31">
        <v>0</v>
      </c>
      <c r="HX35" s="31">
        <v>0</v>
      </c>
      <c r="HY35" s="30">
        <v>0</v>
      </c>
      <c r="HZ35" s="31">
        <v>0</v>
      </c>
      <c r="IA35" s="31" t="s">
        <v>56</v>
      </c>
      <c r="IB35" s="31">
        <v>0</v>
      </c>
      <c r="IC35" s="31">
        <v>0</v>
      </c>
      <c r="ID35" s="31" t="s">
        <v>56</v>
      </c>
      <c r="IE35" s="31">
        <f>60000/1000</f>
        <v>60</v>
      </c>
      <c r="IF35" s="31">
        <v>0</v>
      </c>
      <c r="IG35" s="31">
        <v>0</v>
      </c>
      <c r="IH35" s="31">
        <v>0</v>
      </c>
      <c r="II35" s="31">
        <v>0</v>
      </c>
      <c r="IJ35" s="31" t="s">
        <v>56</v>
      </c>
      <c r="IK35" s="31">
        <f>701952/1000</f>
        <v>701.952</v>
      </c>
      <c r="IL35" s="31">
        <v>0</v>
      </c>
      <c r="IM35" s="31">
        <v>0</v>
      </c>
      <c r="IN35" s="31">
        <v>0</v>
      </c>
      <c r="IO35" s="31">
        <v>0</v>
      </c>
      <c r="IP35" s="31" t="s">
        <v>56</v>
      </c>
      <c r="IQ35" s="31">
        <f>137516700/1000</f>
        <v>137516.70000000001</v>
      </c>
      <c r="IR35" s="31">
        <v>0</v>
      </c>
      <c r="IS35" s="31">
        <v>0</v>
      </c>
      <c r="IT35" s="11">
        <f t="shared" si="65"/>
        <v>1427464.43016</v>
      </c>
      <c r="IU35" s="10">
        <f t="shared" si="66"/>
        <v>262423.04683999997</v>
      </c>
      <c r="IV35" s="10">
        <f t="shared" si="67"/>
        <v>18.383858910626991</v>
      </c>
      <c r="IW35" s="16"/>
      <c r="IX35" s="16"/>
      <c r="IZ35" s="18"/>
    </row>
    <row r="36" spans="1:260" x14ac:dyDescent="0.2">
      <c r="A36" s="13" t="s">
        <v>39</v>
      </c>
      <c r="B36" s="23">
        <f t="shared" si="47"/>
        <v>95206</v>
      </c>
      <c r="C36" s="23">
        <f t="shared" si="48"/>
        <v>30882.9</v>
      </c>
      <c r="D36" s="24">
        <f t="shared" si="49"/>
        <v>32.437976598113565</v>
      </c>
      <c r="E36" s="30">
        <v>95206</v>
      </c>
      <c r="F36" s="31">
        <v>30882.9</v>
      </c>
      <c r="G36" s="31">
        <f t="shared" si="50"/>
        <v>32.437976598113565</v>
      </c>
      <c r="H36" s="30">
        <v>0</v>
      </c>
      <c r="I36" s="30">
        <v>0</v>
      </c>
      <c r="J36" s="31" t="s">
        <v>56</v>
      </c>
      <c r="K36" s="31">
        <v>0</v>
      </c>
      <c r="L36" s="31">
        <v>0</v>
      </c>
      <c r="M36" s="31" t="s">
        <v>56</v>
      </c>
      <c r="N36" s="23">
        <f t="shared" si="51"/>
        <v>56741.817599999995</v>
      </c>
      <c r="O36" s="23">
        <f t="shared" si="52"/>
        <v>0</v>
      </c>
      <c r="P36" s="24">
        <f t="shared" si="53"/>
        <v>0</v>
      </c>
      <c r="Q36" s="31">
        <f>44562080/1000</f>
        <v>44562.080000000002</v>
      </c>
      <c r="R36" s="31">
        <v>0</v>
      </c>
      <c r="S36" s="31">
        <f t="shared" si="68"/>
        <v>0</v>
      </c>
      <c r="T36" s="30">
        <v>0</v>
      </c>
      <c r="U36" s="31">
        <v>0</v>
      </c>
      <c r="V36" s="31" t="s">
        <v>56</v>
      </c>
      <c r="W36" s="30">
        <v>0</v>
      </c>
      <c r="X36" s="31">
        <v>0</v>
      </c>
      <c r="Y36" s="31" t="s">
        <v>56</v>
      </c>
      <c r="Z36" s="30">
        <v>0</v>
      </c>
      <c r="AA36" s="31">
        <v>0</v>
      </c>
      <c r="AB36" s="31" t="s">
        <v>56</v>
      </c>
      <c r="AC36" s="30">
        <v>0</v>
      </c>
      <c r="AD36" s="31">
        <v>0</v>
      </c>
      <c r="AE36" s="31" t="s">
        <v>56</v>
      </c>
      <c r="AF36" s="30">
        <v>0</v>
      </c>
      <c r="AG36" s="31">
        <v>0</v>
      </c>
      <c r="AH36" s="31" t="s">
        <v>56</v>
      </c>
      <c r="AI36" s="30">
        <v>0</v>
      </c>
      <c r="AJ36" s="30">
        <v>0</v>
      </c>
      <c r="AK36" s="31" t="s">
        <v>56</v>
      </c>
      <c r="AL36" s="31">
        <f>701500/1000</f>
        <v>701.5</v>
      </c>
      <c r="AM36" s="31">
        <v>0</v>
      </c>
      <c r="AN36" s="31">
        <v>0</v>
      </c>
      <c r="AO36" s="31">
        <v>0</v>
      </c>
      <c r="AP36" s="31">
        <v>0</v>
      </c>
      <c r="AQ36" s="31" t="s">
        <v>56</v>
      </c>
      <c r="AR36" s="31">
        <v>0</v>
      </c>
      <c r="AS36" s="31">
        <v>0</v>
      </c>
      <c r="AT36" s="31" t="s">
        <v>56</v>
      </c>
      <c r="AU36" s="30">
        <v>0</v>
      </c>
      <c r="AV36" s="31">
        <v>0</v>
      </c>
      <c r="AW36" s="31" t="s">
        <v>56</v>
      </c>
      <c r="AX36" s="30">
        <v>0</v>
      </c>
      <c r="AY36" s="31">
        <v>0</v>
      </c>
      <c r="AZ36" s="31" t="s">
        <v>56</v>
      </c>
      <c r="BA36" s="30">
        <v>0</v>
      </c>
      <c r="BB36" s="31">
        <v>0</v>
      </c>
      <c r="BC36" s="31" t="s">
        <v>56</v>
      </c>
      <c r="BD36" s="30">
        <v>0</v>
      </c>
      <c r="BE36" s="31">
        <v>0</v>
      </c>
      <c r="BF36" s="31" t="s">
        <v>56</v>
      </c>
      <c r="BG36" s="30">
        <v>0</v>
      </c>
      <c r="BH36" s="31">
        <v>0</v>
      </c>
      <c r="BI36" s="31" t="s">
        <v>56</v>
      </c>
      <c r="BJ36" s="30">
        <v>0</v>
      </c>
      <c r="BK36" s="31">
        <v>0</v>
      </c>
      <c r="BL36" s="31" t="s">
        <v>56</v>
      </c>
      <c r="BM36" s="30">
        <v>0</v>
      </c>
      <c r="BN36" s="31">
        <v>0</v>
      </c>
      <c r="BO36" s="31" t="s">
        <v>56</v>
      </c>
      <c r="BP36" s="30">
        <v>0</v>
      </c>
      <c r="BQ36" s="31">
        <v>0</v>
      </c>
      <c r="BR36" s="31" t="s">
        <v>56</v>
      </c>
      <c r="BS36" s="30">
        <v>0</v>
      </c>
      <c r="BT36" s="31">
        <v>0</v>
      </c>
      <c r="BU36" s="31" t="s">
        <v>56</v>
      </c>
      <c r="BV36" s="31">
        <v>0</v>
      </c>
      <c r="BW36" s="31">
        <v>0</v>
      </c>
      <c r="BX36" s="31" t="s">
        <v>56</v>
      </c>
      <c r="BY36" s="31">
        <v>0</v>
      </c>
      <c r="BZ36" s="31">
        <v>0</v>
      </c>
      <c r="CA36" s="32" t="s">
        <v>56</v>
      </c>
      <c r="CB36" s="30">
        <v>0</v>
      </c>
      <c r="CC36" s="30">
        <v>0</v>
      </c>
      <c r="CD36" s="33" t="s">
        <v>56</v>
      </c>
      <c r="CE36" s="30">
        <v>0</v>
      </c>
      <c r="CF36" s="30">
        <v>0</v>
      </c>
      <c r="CG36" s="33" t="s">
        <v>56</v>
      </c>
      <c r="CH36" s="33">
        <v>0</v>
      </c>
      <c r="CI36" s="33">
        <v>0</v>
      </c>
      <c r="CJ36" s="33" t="s">
        <v>56</v>
      </c>
      <c r="CK36" s="30">
        <v>0</v>
      </c>
      <c r="CL36" s="30">
        <v>0</v>
      </c>
      <c r="CM36" s="33" t="s">
        <v>56</v>
      </c>
      <c r="CN36" s="30">
        <v>0</v>
      </c>
      <c r="CO36" s="33">
        <v>0</v>
      </c>
      <c r="CP36" s="33" t="s">
        <v>56</v>
      </c>
      <c r="CQ36" s="33">
        <v>0</v>
      </c>
      <c r="CR36" s="33">
        <v>0</v>
      </c>
      <c r="CS36" s="33" t="s">
        <v>56</v>
      </c>
      <c r="CT36" s="33">
        <v>0</v>
      </c>
      <c r="CU36" s="33">
        <v>0</v>
      </c>
      <c r="CV36" s="33" t="s">
        <v>56</v>
      </c>
      <c r="CW36" s="33">
        <f>2505312.6/1000</f>
        <v>2505.3126000000002</v>
      </c>
      <c r="CX36" s="33">
        <v>0</v>
      </c>
      <c r="CY36" s="33">
        <v>0</v>
      </c>
      <c r="CZ36" s="33">
        <f>2035725/1000</f>
        <v>2035.7249999999999</v>
      </c>
      <c r="DA36" s="33">
        <v>0</v>
      </c>
      <c r="DB36" s="33">
        <f t="shared" si="71"/>
        <v>0</v>
      </c>
      <c r="DC36" s="33">
        <v>0</v>
      </c>
      <c r="DD36" s="33">
        <v>0</v>
      </c>
      <c r="DE36" s="33" t="s">
        <v>56</v>
      </c>
      <c r="DF36" s="33">
        <v>0</v>
      </c>
      <c r="DG36" s="33">
        <v>0</v>
      </c>
      <c r="DH36" s="33" t="s">
        <v>56</v>
      </c>
      <c r="DI36" s="33">
        <f>6937200/1000</f>
        <v>6937.2</v>
      </c>
      <c r="DJ36" s="33">
        <v>0</v>
      </c>
      <c r="DK36" s="33">
        <v>0</v>
      </c>
      <c r="DL36" s="33">
        <v>0</v>
      </c>
      <c r="DM36" s="33">
        <v>0</v>
      </c>
      <c r="DN36" s="33" t="s">
        <v>56</v>
      </c>
      <c r="DO36" s="33">
        <v>0</v>
      </c>
      <c r="DP36" s="33">
        <v>0</v>
      </c>
      <c r="DQ36" s="33" t="s">
        <v>56</v>
      </c>
      <c r="DR36" s="33">
        <v>0</v>
      </c>
      <c r="DS36" s="33">
        <v>0</v>
      </c>
      <c r="DT36" s="33" t="s">
        <v>56</v>
      </c>
      <c r="DU36" s="33">
        <v>0</v>
      </c>
      <c r="DV36" s="33">
        <v>0</v>
      </c>
      <c r="DW36" s="33" t="s">
        <v>56</v>
      </c>
      <c r="DX36" s="30">
        <v>0</v>
      </c>
      <c r="DY36" s="31">
        <v>0</v>
      </c>
      <c r="DZ36" s="33" t="s">
        <v>56</v>
      </c>
      <c r="EA36" s="30">
        <v>0</v>
      </c>
      <c r="EB36" s="31">
        <v>0</v>
      </c>
      <c r="EC36" s="33" t="s">
        <v>56</v>
      </c>
      <c r="ED36" s="23">
        <f t="shared" si="55"/>
        <v>116418.70000000001</v>
      </c>
      <c r="EE36" s="23">
        <f t="shared" si="56"/>
        <v>34910.344349999999</v>
      </c>
      <c r="EF36" s="24">
        <f t="shared" si="57"/>
        <v>29.986887287008013</v>
      </c>
      <c r="EG36" s="34">
        <f>906100/1000</f>
        <v>906.1</v>
      </c>
      <c r="EH36" s="34">
        <v>191.2</v>
      </c>
      <c r="EI36" s="31">
        <f t="shared" si="26"/>
        <v>21.101423683920096</v>
      </c>
      <c r="EJ36" s="34">
        <v>0</v>
      </c>
      <c r="EK36" s="31">
        <v>0</v>
      </c>
      <c r="EL36" s="31" t="s">
        <v>56</v>
      </c>
      <c r="EM36" s="34">
        <v>0</v>
      </c>
      <c r="EN36" s="31">
        <v>0</v>
      </c>
      <c r="EO36" s="31" t="s">
        <v>56</v>
      </c>
      <c r="EP36" s="34">
        <v>31729</v>
      </c>
      <c r="EQ36" s="31">
        <v>6706.1319999999996</v>
      </c>
      <c r="ER36" s="31">
        <f t="shared" si="58"/>
        <v>21.135655078949853</v>
      </c>
      <c r="ES36" s="31">
        <v>70134</v>
      </c>
      <c r="ET36" s="31">
        <v>24646.9</v>
      </c>
      <c r="EU36" s="36">
        <f t="shared" si="59"/>
        <v>35.142584195967721</v>
      </c>
      <c r="EV36" s="34">
        <f>4715600/1000</f>
        <v>4715.6000000000004</v>
      </c>
      <c r="EW36" s="33">
        <v>1266</v>
      </c>
      <c r="EX36" s="33">
        <f t="shared" si="60"/>
        <v>26.847060819407918</v>
      </c>
      <c r="EY36" s="34">
        <f>750800/1000</f>
        <v>750.8</v>
      </c>
      <c r="EZ36" s="31">
        <v>0</v>
      </c>
      <c r="FA36" s="31">
        <f t="shared" si="30"/>
        <v>0</v>
      </c>
      <c r="FB36" s="34">
        <v>0</v>
      </c>
      <c r="FC36" s="31">
        <v>0</v>
      </c>
      <c r="FD36" s="31" t="s">
        <v>56</v>
      </c>
      <c r="FE36" s="34">
        <v>0</v>
      </c>
      <c r="FF36" s="31">
        <v>0</v>
      </c>
      <c r="FG36" s="31" t="s">
        <v>56</v>
      </c>
      <c r="FH36" s="34">
        <v>0</v>
      </c>
      <c r="FI36" s="31">
        <v>0</v>
      </c>
      <c r="FJ36" s="31" t="s">
        <v>56</v>
      </c>
      <c r="FK36" s="34">
        <f>140000/1000</f>
        <v>140</v>
      </c>
      <c r="FL36" s="31">
        <v>35.1</v>
      </c>
      <c r="FM36" s="31">
        <f t="shared" si="33"/>
        <v>25.071428571428573</v>
      </c>
      <c r="FN36" s="34">
        <f>1200/1000</f>
        <v>1.2</v>
      </c>
      <c r="FO36" s="31">
        <v>0</v>
      </c>
      <c r="FP36" s="31">
        <f t="shared" si="34"/>
        <v>0</v>
      </c>
      <c r="FQ36" s="34">
        <f>63600/1000</f>
        <v>63.6</v>
      </c>
      <c r="FR36" s="31">
        <v>15.9</v>
      </c>
      <c r="FS36" s="31">
        <f t="shared" si="69"/>
        <v>25</v>
      </c>
      <c r="FT36" s="34">
        <v>0</v>
      </c>
      <c r="FU36" s="31">
        <v>0</v>
      </c>
      <c r="FV36" s="31" t="s">
        <v>56</v>
      </c>
      <c r="FW36" s="34">
        <f>542300/1000</f>
        <v>542.29999999999995</v>
      </c>
      <c r="FX36" s="31">
        <f>105375/1000</f>
        <v>105.375</v>
      </c>
      <c r="FY36" s="31">
        <f t="shared" si="36"/>
        <v>19.431126682647985</v>
      </c>
      <c r="FZ36" s="34">
        <f>198400/1000</f>
        <v>198.4</v>
      </c>
      <c r="GA36" s="31">
        <f>42849/1000</f>
        <v>42.848999999999997</v>
      </c>
      <c r="GB36" s="31">
        <f t="shared" si="37"/>
        <v>21.597278225806448</v>
      </c>
      <c r="GC36" s="34">
        <v>0</v>
      </c>
      <c r="GD36" s="31">
        <v>0</v>
      </c>
      <c r="GE36" s="31" t="s">
        <v>56</v>
      </c>
      <c r="GF36" s="35">
        <v>0</v>
      </c>
      <c r="GG36" s="31">
        <v>0</v>
      </c>
      <c r="GH36" s="31" t="s">
        <v>56</v>
      </c>
      <c r="GI36" s="35">
        <v>843.5</v>
      </c>
      <c r="GJ36" s="31">
        <v>193.47434999999999</v>
      </c>
      <c r="GK36" s="31">
        <f t="shared" si="40"/>
        <v>22.937089508002369</v>
      </c>
      <c r="GL36" s="34">
        <v>0</v>
      </c>
      <c r="GM36" s="34">
        <v>0</v>
      </c>
      <c r="GN36" s="31" t="s">
        <v>56</v>
      </c>
      <c r="GO36" s="34">
        <f>157700/1000</f>
        <v>157.69999999999999</v>
      </c>
      <c r="GP36" s="31">
        <f>39414/1000</f>
        <v>39.414000000000001</v>
      </c>
      <c r="GQ36" s="31">
        <f t="shared" si="83"/>
        <v>24.993024730500952</v>
      </c>
      <c r="GR36" s="34">
        <f>517000/1000</f>
        <v>517</v>
      </c>
      <c r="GS36" s="31">
        <v>90</v>
      </c>
      <c r="GT36" s="31">
        <f t="shared" si="87"/>
        <v>17.408123791102515</v>
      </c>
      <c r="GU36" s="34">
        <v>0</v>
      </c>
      <c r="GV36" s="31">
        <v>0</v>
      </c>
      <c r="GW36" s="31" t="s">
        <v>56</v>
      </c>
      <c r="GX36" s="34">
        <f>100700/1000</f>
        <v>100.7</v>
      </c>
      <c r="GY36" s="31">
        <v>0</v>
      </c>
      <c r="GZ36" s="31">
        <v>0</v>
      </c>
      <c r="HA36" s="31">
        <f>4632800/1000</f>
        <v>4632.8</v>
      </c>
      <c r="HB36" s="31">
        <v>1331.4</v>
      </c>
      <c r="HC36" s="36">
        <f t="shared" si="61"/>
        <v>28.738559834225523</v>
      </c>
      <c r="HD36" s="34">
        <f>986000/1000</f>
        <v>986</v>
      </c>
      <c r="HE36" s="31">
        <v>246.6</v>
      </c>
      <c r="HF36" s="31">
        <f t="shared" si="62"/>
        <v>25.010141987829616</v>
      </c>
      <c r="HG36" s="28">
        <f t="shared" si="63"/>
        <v>8191.5</v>
      </c>
      <c r="HH36" s="28">
        <f t="shared" si="64"/>
        <v>0</v>
      </c>
      <c r="HI36" s="26">
        <f t="shared" si="46"/>
        <v>0</v>
      </c>
      <c r="HJ36" s="37">
        <v>0</v>
      </c>
      <c r="HK36" s="37">
        <v>0</v>
      </c>
      <c r="HL36" s="37" t="s">
        <v>56</v>
      </c>
      <c r="HM36" s="33">
        <v>0</v>
      </c>
      <c r="HN36" s="33">
        <v>0</v>
      </c>
      <c r="HO36" s="33" t="s">
        <v>56</v>
      </c>
      <c r="HP36" s="33">
        <f>2191500/1000</f>
        <v>2191.5</v>
      </c>
      <c r="HQ36" s="37">
        <v>0</v>
      </c>
      <c r="HR36" s="37">
        <v>0</v>
      </c>
      <c r="HS36" s="37">
        <v>0</v>
      </c>
      <c r="HT36" s="37">
        <v>0</v>
      </c>
      <c r="HU36" s="37" t="s">
        <v>56</v>
      </c>
      <c r="HV36" s="30">
        <f>5940000/1000</f>
        <v>5940</v>
      </c>
      <c r="HW36" s="31">
        <v>0</v>
      </c>
      <c r="HX36" s="31">
        <v>0</v>
      </c>
      <c r="HY36" s="30">
        <v>0</v>
      </c>
      <c r="HZ36" s="31">
        <v>0</v>
      </c>
      <c r="IA36" s="31" t="s">
        <v>56</v>
      </c>
      <c r="IB36" s="31">
        <v>0</v>
      </c>
      <c r="IC36" s="31">
        <v>0</v>
      </c>
      <c r="ID36" s="31" t="s">
        <v>56</v>
      </c>
      <c r="IE36" s="31">
        <f>60000/1000</f>
        <v>60</v>
      </c>
      <c r="IF36" s="31">
        <v>0</v>
      </c>
      <c r="IG36" s="31">
        <v>0</v>
      </c>
      <c r="IH36" s="31">
        <v>0</v>
      </c>
      <c r="II36" s="31">
        <v>0</v>
      </c>
      <c r="IJ36" s="31" t="s">
        <v>56</v>
      </c>
      <c r="IK36" s="31">
        <v>0</v>
      </c>
      <c r="IL36" s="31">
        <v>0</v>
      </c>
      <c r="IM36" s="31" t="s">
        <v>56</v>
      </c>
      <c r="IN36" s="31">
        <v>0</v>
      </c>
      <c r="IO36" s="31">
        <v>0</v>
      </c>
      <c r="IP36" s="31" t="s">
        <v>56</v>
      </c>
      <c r="IQ36" s="31">
        <v>0</v>
      </c>
      <c r="IR36" s="31">
        <v>0</v>
      </c>
      <c r="IS36" s="31" t="s">
        <v>56</v>
      </c>
      <c r="IT36" s="11">
        <f t="shared" si="65"/>
        <v>276558.01760000002</v>
      </c>
      <c r="IU36" s="10">
        <f t="shared" si="66"/>
        <v>65793.244349999994</v>
      </c>
      <c r="IV36" s="10">
        <f t="shared" si="67"/>
        <v>23.790033252682669</v>
      </c>
      <c r="IW36" s="16"/>
      <c r="IX36" s="16"/>
      <c r="IZ36" s="18"/>
    </row>
    <row r="37" spans="1:260" x14ac:dyDescent="0.2">
      <c r="A37" s="13" t="s">
        <v>40</v>
      </c>
      <c r="B37" s="23">
        <f t="shared" si="47"/>
        <v>182038</v>
      </c>
      <c r="C37" s="23">
        <f t="shared" si="48"/>
        <v>84544</v>
      </c>
      <c r="D37" s="24">
        <f t="shared" si="49"/>
        <v>46.443050352124281</v>
      </c>
      <c r="E37" s="30">
        <v>182038</v>
      </c>
      <c r="F37" s="31">
        <v>84544</v>
      </c>
      <c r="G37" s="31">
        <f t="shared" si="50"/>
        <v>46.443050352124281</v>
      </c>
      <c r="H37" s="30">
        <v>0</v>
      </c>
      <c r="I37" s="30">
        <v>0</v>
      </c>
      <c r="J37" s="31" t="s">
        <v>56</v>
      </c>
      <c r="K37" s="31">
        <v>0</v>
      </c>
      <c r="L37" s="31">
        <v>0</v>
      </c>
      <c r="M37" s="31" t="s">
        <v>56</v>
      </c>
      <c r="N37" s="23">
        <f t="shared" si="51"/>
        <v>104917.25388999999</v>
      </c>
      <c r="O37" s="23">
        <f t="shared" si="52"/>
        <v>304.60000000000002</v>
      </c>
      <c r="P37" s="24">
        <f t="shared" si="53"/>
        <v>0.29032403032522797</v>
      </c>
      <c r="Q37" s="31">
        <f>17205975/1000</f>
        <v>17205.974999999999</v>
      </c>
      <c r="R37" s="31">
        <v>0</v>
      </c>
      <c r="S37" s="31">
        <f t="shared" si="68"/>
        <v>0</v>
      </c>
      <c r="T37" s="30">
        <f>1500000/1000</f>
        <v>1500</v>
      </c>
      <c r="U37" s="31">
        <v>0</v>
      </c>
      <c r="V37" s="31">
        <f t="shared" ref="V37" si="90">U37/T37%</f>
        <v>0</v>
      </c>
      <c r="W37" s="30">
        <v>0</v>
      </c>
      <c r="X37" s="31">
        <v>0</v>
      </c>
      <c r="Y37" s="31" t="s">
        <v>56</v>
      </c>
      <c r="Z37" s="30">
        <v>0</v>
      </c>
      <c r="AA37" s="31">
        <v>0</v>
      </c>
      <c r="AB37" s="31" t="s">
        <v>56</v>
      </c>
      <c r="AC37" s="30">
        <v>0</v>
      </c>
      <c r="AD37" s="31">
        <v>0</v>
      </c>
      <c r="AE37" s="31" t="s">
        <v>56</v>
      </c>
      <c r="AF37" s="30">
        <v>0</v>
      </c>
      <c r="AG37" s="31">
        <v>0</v>
      </c>
      <c r="AH37" s="31" t="s">
        <v>56</v>
      </c>
      <c r="AI37" s="30">
        <v>0</v>
      </c>
      <c r="AJ37" s="30">
        <v>0</v>
      </c>
      <c r="AK37" s="31" t="s">
        <v>56</v>
      </c>
      <c r="AL37" s="31">
        <f>7965900/1000</f>
        <v>7965.9</v>
      </c>
      <c r="AM37" s="31">
        <v>0</v>
      </c>
      <c r="AN37" s="31">
        <v>0</v>
      </c>
      <c r="AO37" s="31">
        <v>0</v>
      </c>
      <c r="AP37" s="31">
        <v>0</v>
      </c>
      <c r="AQ37" s="31" t="s">
        <v>56</v>
      </c>
      <c r="AR37" s="31">
        <v>0</v>
      </c>
      <c r="AS37" s="31">
        <v>0</v>
      </c>
      <c r="AT37" s="31" t="s">
        <v>56</v>
      </c>
      <c r="AU37" s="30">
        <f>334034.89/1000</f>
        <v>334.03489000000002</v>
      </c>
      <c r="AV37" s="31">
        <v>0</v>
      </c>
      <c r="AW37" s="31">
        <v>0</v>
      </c>
      <c r="AX37" s="30">
        <v>0</v>
      </c>
      <c r="AY37" s="31">
        <v>0</v>
      </c>
      <c r="AZ37" s="31" t="s">
        <v>56</v>
      </c>
      <c r="BA37" s="30">
        <v>0</v>
      </c>
      <c r="BB37" s="31">
        <v>0</v>
      </c>
      <c r="BC37" s="31" t="s">
        <v>56</v>
      </c>
      <c r="BD37" s="30">
        <f>100654.23/1000</f>
        <v>100.65423</v>
      </c>
      <c r="BE37" s="31">
        <v>0</v>
      </c>
      <c r="BF37" s="31">
        <f>BE37/BD37%</f>
        <v>0</v>
      </c>
      <c r="BG37" s="30">
        <v>0</v>
      </c>
      <c r="BH37" s="31">
        <v>0</v>
      </c>
      <c r="BI37" s="31" t="s">
        <v>56</v>
      </c>
      <c r="BJ37" s="30">
        <v>0</v>
      </c>
      <c r="BK37" s="31">
        <v>0</v>
      </c>
      <c r="BL37" s="31" t="s">
        <v>56</v>
      </c>
      <c r="BM37" s="30">
        <v>0</v>
      </c>
      <c r="BN37" s="31">
        <v>0</v>
      </c>
      <c r="BO37" s="31" t="s">
        <v>56</v>
      </c>
      <c r="BP37" s="30">
        <v>0</v>
      </c>
      <c r="BQ37" s="31">
        <v>0</v>
      </c>
      <c r="BR37" s="31" t="s">
        <v>56</v>
      </c>
      <c r="BS37" s="30">
        <v>0</v>
      </c>
      <c r="BT37" s="31">
        <v>0</v>
      </c>
      <c r="BU37" s="31" t="s">
        <v>56</v>
      </c>
      <c r="BV37" s="31">
        <v>0</v>
      </c>
      <c r="BW37" s="31">
        <v>0</v>
      </c>
      <c r="BX37" s="31" t="s">
        <v>56</v>
      </c>
      <c r="BY37" s="31">
        <v>3250</v>
      </c>
      <c r="BZ37" s="31">
        <v>304.60000000000002</v>
      </c>
      <c r="CA37" s="32">
        <f t="shared" si="54"/>
        <v>9.3723076923076931</v>
      </c>
      <c r="CB37" s="30">
        <v>0</v>
      </c>
      <c r="CC37" s="30">
        <v>0</v>
      </c>
      <c r="CD37" s="33" t="s">
        <v>56</v>
      </c>
      <c r="CE37" s="30">
        <v>0</v>
      </c>
      <c r="CF37" s="30">
        <v>0</v>
      </c>
      <c r="CG37" s="33" t="s">
        <v>56</v>
      </c>
      <c r="CH37" s="33">
        <v>0</v>
      </c>
      <c r="CI37" s="33">
        <v>0</v>
      </c>
      <c r="CJ37" s="33" t="s">
        <v>56</v>
      </c>
      <c r="CK37" s="30">
        <v>0</v>
      </c>
      <c r="CL37" s="30">
        <v>0</v>
      </c>
      <c r="CM37" s="33" t="s">
        <v>56</v>
      </c>
      <c r="CN37" s="30">
        <f>7385230/1000</f>
        <v>7385.23</v>
      </c>
      <c r="CO37" s="33">
        <v>0</v>
      </c>
      <c r="CP37" s="33">
        <f t="shared" ref="CP37" si="91">CO37/CN37%</f>
        <v>0</v>
      </c>
      <c r="CQ37" s="33">
        <f>348507.06/1000</f>
        <v>348.50706000000002</v>
      </c>
      <c r="CR37" s="33">
        <v>0</v>
      </c>
      <c r="CS37" s="33">
        <v>0</v>
      </c>
      <c r="CT37" s="33">
        <f>72700/1000</f>
        <v>72.7</v>
      </c>
      <c r="CU37" s="33">
        <v>0</v>
      </c>
      <c r="CV37" s="33">
        <v>0</v>
      </c>
      <c r="CW37" s="33">
        <f>11042833/1000</f>
        <v>11042.833000000001</v>
      </c>
      <c r="CX37" s="33">
        <v>0</v>
      </c>
      <c r="CY37" s="33">
        <v>0</v>
      </c>
      <c r="CZ37" s="33">
        <f>2035725/1000</f>
        <v>2035.7249999999999</v>
      </c>
      <c r="DA37" s="33">
        <v>0</v>
      </c>
      <c r="DB37" s="33">
        <f t="shared" si="71"/>
        <v>0</v>
      </c>
      <c r="DC37" s="33">
        <f>4741194.71/1000</f>
        <v>4741.1947099999998</v>
      </c>
      <c r="DD37" s="33">
        <v>0</v>
      </c>
      <c r="DE37" s="33">
        <v>0</v>
      </c>
      <c r="DF37" s="33">
        <v>0</v>
      </c>
      <c r="DG37" s="33">
        <v>0</v>
      </c>
      <c r="DH37" s="33" t="s">
        <v>56</v>
      </c>
      <c r="DI37" s="33">
        <f>34089200/1000</f>
        <v>34089.199999999997</v>
      </c>
      <c r="DJ37" s="33">
        <v>0</v>
      </c>
      <c r="DK37" s="33">
        <v>0</v>
      </c>
      <c r="DL37" s="33">
        <f>200000/1000</f>
        <v>200</v>
      </c>
      <c r="DM37" s="33">
        <v>0</v>
      </c>
      <c r="DN37" s="33">
        <v>0</v>
      </c>
      <c r="DO37" s="33">
        <v>0</v>
      </c>
      <c r="DP37" s="33">
        <v>0</v>
      </c>
      <c r="DQ37" s="33" t="s">
        <v>56</v>
      </c>
      <c r="DR37" s="33">
        <f>7204800/1000</f>
        <v>7204.8</v>
      </c>
      <c r="DS37" s="33">
        <v>0</v>
      </c>
      <c r="DT37" s="33">
        <f t="shared" si="72"/>
        <v>0</v>
      </c>
      <c r="DU37" s="33">
        <v>0</v>
      </c>
      <c r="DV37" s="33">
        <v>0</v>
      </c>
      <c r="DW37" s="33" t="s">
        <v>56</v>
      </c>
      <c r="DX37" s="30">
        <v>7440.5</v>
      </c>
      <c r="DY37" s="31">
        <v>0</v>
      </c>
      <c r="DZ37" s="33">
        <v>0</v>
      </c>
      <c r="EA37" s="30">
        <v>0</v>
      </c>
      <c r="EB37" s="31">
        <v>0</v>
      </c>
      <c r="EC37" s="33" t="s">
        <v>56</v>
      </c>
      <c r="ED37" s="23">
        <f t="shared" si="55"/>
        <v>453361.83799999993</v>
      </c>
      <c r="EE37" s="23">
        <f t="shared" si="56"/>
        <v>123925.66215</v>
      </c>
      <c r="EF37" s="24">
        <f t="shared" si="57"/>
        <v>27.334824363845119</v>
      </c>
      <c r="EG37" s="34">
        <f>4077600/1000</f>
        <v>4077.6</v>
      </c>
      <c r="EH37" s="34">
        <v>1050</v>
      </c>
      <c r="EI37" s="31">
        <f t="shared" si="26"/>
        <v>25.750441436138907</v>
      </c>
      <c r="EJ37" s="34">
        <f>114200/1000</f>
        <v>114.2</v>
      </c>
      <c r="EK37" s="31">
        <v>0</v>
      </c>
      <c r="EL37" s="31">
        <f t="shared" si="82"/>
        <v>0</v>
      </c>
      <c r="EM37" s="34">
        <f>533/1000</f>
        <v>0.53300000000000003</v>
      </c>
      <c r="EN37" s="31">
        <v>0</v>
      </c>
      <c r="EO37" s="31">
        <f t="shared" si="29"/>
        <v>0</v>
      </c>
      <c r="EP37" s="34">
        <v>147690.9</v>
      </c>
      <c r="EQ37" s="31">
        <v>32495.559000000001</v>
      </c>
      <c r="ER37" s="31">
        <f t="shared" si="58"/>
        <v>22.002411116730958</v>
      </c>
      <c r="ES37" s="31">
        <v>245058.7</v>
      </c>
      <c r="ET37" s="31">
        <v>79757.600000000006</v>
      </c>
      <c r="EU37" s="36">
        <f t="shared" si="59"/>
        <v>32.546324615286053</v>
      </c>
      <c r="EV37" s="34">
        <f>9780800/1000</f>
        <v>9780.7999999999993</v>
      </c>
      <c r="EW37" s="33">
        <v>2730.4</v>
      </c>
      <c r="EX37" s="33">
        <f t="shared" si="60"/>
        <v>27.915916898413222</v>
      </c>
      <c r="EY37" s="34">
        <f>6883600/1000</f>
        <v>6883.6</v>
      </c>
      <c r="EZ37" s="31">
        <v>0</v>
      </c>
      <c r="FA37" s="31">
        <f t="shared" ref="FA37" si="92">EZ37/EY37%</f>
        <v>0</v>
      </c>
      <c r="FB37" s="34">
        <f>956000/1000</f>
        <v>956</v>
      </c>
      <c r="FC37" s="31">
        <v>0</v>
      </c>
      <c r="FD37" s="31">
        <v>0</v>
      </c>
      <c r="FE37" s="34">
        <v>0</v>
      </c>
      <c r="FF37" s="31">
        <v>0</v>
      </c>
      <c r="FG37" s="31" t="s">
        <v>56</v>
      </c>
      <c r="FH37" s="34">
        <f>588005/1000</f>
        <v>588.005</v>
      </c>
      <c r="FI37" s="31">
        <v>0</v>
      </c>
      <c r="FJ37" s="31">
        <f t="shared" si="31"/>
        <v>0</v>
      </c>
      <c r="FK37" s="34">
        <f>245000/1000</f>
        <v>245</v>
      </c>
      <c r="FL37" s="31">
        <v>61.2</v>
      </c>
      <c r="FM37" s="31">
        <f t="shared" si="33"/>
        <v>24.979591836734695</v>
      </c>
      <c r="FN37" s="34">
        <f>3800/1000</f>
        <v>3.8</v>
      </c>
      <c r="FO37" s="31">
        <v>0</v>
      </c>
      <c r="FP37" s="31">
        <f t="shared" si="34"/>
        <v>0</v>
      </c>
      <c r="FQ37" s="34">
        <f>95500/1000</f>
        <v>95.5</v>
      </c>
      <c r="FR37" s="31">
        <v>24</v>
      </c>
      <c r="FS37" s="31">
        <f t="shared" si="69"/>
        <v>25.130890052356023</v>
      </c>
      <c r="FT37" s="34">
        <v>0</v>
      </c>
      <c r="FU37" s="31">
        <v>0</v>
      </c>
      <c r="FV37" s="31" t="s">
        <v>56</v>
      </c>
      <c r="FW37" s="34">
        <f>661700/1000</f>
        <v>661.7</v>
      </c>
      <c r="FX37" s="31">
        <f>118243/1000</f>
        <v>118.24299999999999</v>
      </c>
      <c r="FY37" s="31">
        <f t="shared" si="36"/>
        <v>17.869578358772856</v>
      </c>
      <c r="FZ37" s="34">
        <f>443100/1000</f>
        <v>443.1</v>
      </c>
      <c r="GA37" s="31">
        <f>100127.58/1000</f>
        <v>100.12757999999999</v>
      </c>
      <c r="GB37" s="31">
        <f t="shared" si="37"/>
        <v>22.597061611374407</v>
      </c>
      <c r="GC37" s="34">
        <v>0</v>
      </c>
      <c r="GD37" s="31">
        <v>0</v>
      </c>
      <c r="GE37" s="31" t="s">
        <v>56</v>
      </c>
      <c r="GF37" s="35">
        <v>0</v>
      </c>
      <c r="GG37" s="31">
        <v>0</v>
      </c>
      <c r="GH37" s="31" t="s">
        <v>56</v>
      </c>
      <c r="GI37" s="35">
        <v>2404.6999999999998</v>
      </c>
      <c r="GJ37" s="31">
        <v>499.11066000000005</v>
      </c>
      <c r="GK37" s="31">
        <f t="shared" si="40"/>
        <v>20.755631055848966</v>
      </c>
      <c r="GL37" s="34">
        <v>0</v>
      </c>
      <c r="GM37" s="34">
        <v>0</v>
      </c>
      <c r="GN37" s="31" t="s">
        <v>56</v>
      </c>
      <c r="GO37" s="34">
        <f>228000/1000</f>
        <v>228</v>
      </c>
      <c r="GP37" s="31">
        <f>63208/1000</f>
        <v>63.207999999999998</v>
      </c>
      <c r="GQ37" s="31">
        <f t="shared" si="83"/>
        <v>27.722807017543861</v>
      </c>
      <c r="GR37" s="34">
        <f>1403600/1000</f>
        <v>1403.6</v>
      </c>
      <c r="GS37" s="31">
        <v>258.39999999999998</v>
      </c>
      <c r="GT37" s="31">
        <f t="shared" si="87"/>
        <v>18.409803362781417</v>
      </c>
      <c r="GU37" s="34">
        <v>0</v>
      </c>
      <c r="GV37" s="31">
        <v>0</v>
      </c>
      <c r="GW37" s="31" t="s">
        <v>56</v>
      </c>
      <c r="GX37" s="34">
        <f>637100/1000</f>
        <v>637.1</v>
      </c>
      <c r="GY37" s="31">
        <v>0</v>
      </c>
      <c r="GZ37" s="31">
        <v>0</v>
      </c>
      <c r="HA37" s="31">
        <f>(441800+25857200)/1000</f>
        <v>26299</v>
      </c>
      <c r="HB37" s="31">
        <f>5320313.91/1000</f>
        <v>5320.3139099999999</v>
      </c>
      <c r="HC37" s="27">
        <f t="shared" si="61"/>
        <v>20.230099661584088</v>
      </c>
      <c r="HD37" s="34">
        <f>5790000/1000</f>
        <v>5790</v>
      </c>
      <c r="HE37" s="31">
        <v>1447.5</v>
      </c>
      <c r="HF37" s="31">
        <f t="shared" si="62"/>
        <v>25</v>
      </c>
      <c r="HG37" s="28">
        <f t="shared" si="63"/>
        <v>12756.8</v>
      </c>
      <c r="HH37" s="28">
        <f t="shared" si="64"/>
        <v>0</v>
      </c>
      <c r="HI37" s="26">
        <f t="shared" si="46"/>
        <v>0</v>
      </c>
      <c r="HJ37" s="37">
        <v>0</v>
      </c>
      <c r="HK37" s="37">
        <v>0</v>
      </c>
      <c r="HL37" s="37" t="s">
        <v>56</v>
      </c>
      <c r="HM37" s="33">
        <v>0</v>
      </c>
      <c r="HN37" s="33">
        <v>0</v>
      </c>
      <c r="HO37" s="33" t="s">
        <v>56</v>
      </c>
      <c r="HP37" s="33">
        <f>12756800/1000</f>
        <v>12756.8</v>
      </c>
      <c r="HQ37" s="37">
        <v>0</v>
      </c>
      <c r="HR37" s="37">
        <v>0</v>
      </c>
      <c r="HS37" s="37">
        <v>0</v>
      </c>
      <c r="HT37" s="37">
        <v>0</v>
      </c>
      <c r="HU37" s="37" t="s">
        <v>56</v>
      </c>
      <c r="HV37" s="38">
        <v>0</v>
      </c>
      <c r="HW37" s="31">
        <v>0</v>
      </c>
      <c r="HX37" s="31" t="s">
        <v>56</v>
      </c>
      <c r="HY37" s="30">
        <v>0</v>
      </c>
      <c r="HZ37" s="31">
        <v>0</v>
      </c>
      <c r="IA37" s="31" t="s">
        <v>56</v>
      </c>
      <c r="IB37" s="31">
        <v>0</v>
      </c>
      <c r="IC37" s="31">
        <v>0</v>
      </c>
      <c r="ID37" s="31" t="s">
        <v>56</v>
      </c>
      <c r="IE37" s="31">
        <v>0</v>
      </c>
      <c r="IF37" s="31">
        <v>0</v>
      </c>
      <c r="IG37" s="31" t="s">
        <v>56</v>
      </c>
      <c r="IH37" s="31">
        <v>0</v>
      </c>
      <c r="II37" s="31">
        <v>0</v>
      </c>
      <c r="IJ37" s="31" t="s">
        <v>56</v>
      </c>
      <c r="IK37" s="31">
        <v>0</v>
      </c>
      <c r="IL37" s="31">
        <v>0</v>
      </c>
      <c r="IM37" s="31" t="s">
        <v>56</v>
      </c>
      <c r="IN37" s="31">
        <v>0</v>
      </c>
      <c r="IO37" s="31">
        <v>0</v>
      </c>
      <c r="IP37" s="31" t="s">
        <v>56</v>
      </c>
      <c r="IQ37" s="31">
        <v>0</v>
      </c>
      <c r="IR37" s="31">
        <v>0</v>
      </c>
      <c r="IS37" s="31" t="s">
        <v>56</v>
      </c>
      <c r="IT37" s="11">
        <f t="shared" si="65"/>
        <v>753073.89188999997</v>
      </c>
      <c r="IU37" s="10">
        <f t="shared" si="66"/>
        <v>208774.26215000002</v>
      </c>
      <c r="IV37" s="10">
        <f t="shared" si="67"/>
        <v>27.722945171560305</v>
      </c>
      <c r="IW37" s="16"/>
      <c r="IX37" s="16"/>
      <c r="IZ37" s="18"/>
    </row>
    <row r="38" spans="1:260" s="3" customFormat="1" x14ac:dyDescent="0.2">
      <c r="A38" s="14" t="s">
        <v>51</v>
      </c>
      <c r="B38" s="23">
        <f t="shared" si="47"/>
        <v>647836.1</v>
      </c>
      <c r="C38" s="23">
        <f>F38+I38+L38</f>
        <v>205445.8</v>
      </c>
      <c r="D38" s="24">
        <f t="shared" si="49"/>
        <v>31.712619904942009</v>
      </c>
      <c r="E38" s="25">
        <f t="shared" ref="E38:CH38" si="93">SUM(E39:E42)</f>
        <v>617095.1</v>
      </c>
      <c r="F38" s="25">
        <f>SUM(F39:F42)</f>
        <v>197760.8</v>
      </c>
      <c r="G38" s="24">
        <f t="shared" si="50"/>
        <v>32.047054011610207</v>
      </c>
      <c r="H38" s="25">
        <f t="shared" si="93"/>
        <v>0</v>
      </c>
      <c r="I38" s="25">
        <f t="shared" si="93"/>
        <v>0</v>
      </c>
      <c r="J38" s="24" t="s">
        <v>56</v>
      </c>
      <c r="K38" s="25">
        <f>SUM(K39:K42)</f>
        <v>30741</v>
      </c>
      <c r="L38" s="25">
        <f t="shared" si="93"/>
        <v>7685</v>
      </c>
      <c r="M38" s="24">
        <f>(L38/K38)*100</f>
        <v>24.999186753846654</v>
      </c>
      <c r="N38" s="23">
        <f t="shared" si="51"/>
        <v>945320.59400000016</v>
      </c>
      <c r="O38" s="23">
        <f t="shared" si="52"/>
        <v>283.7</v>
      </c>
      <c r="P38" s="24">
        <f t="shared" si="53"/>
        <v>3.0010982707946797E-2</v>
      </c>
      <c r="Q38" s="25">
        <f t="shared" si="93"/>
        <v>4063.5349999999999</v>
      </c>
      <c r="R38" s="25">
        <f t="shared" si="93"/>
        <v>0</v>
      </c>
      <c r="S38" s="24">
        <f t="shared" si="68"/>
        <v>0</v>
      </c>
      <c r="T38" s="25">
        <f t="shared" si="93"/>
        <v>0</v>
      </c>
      <c r="U38" s="25">
        <f t="shared" si="93"/>
        <v>0</v>
      </c>
      <c r="V38" s="24" t="s">
        <v>56</v>
      </c>
      <c r="W38" s="25">
        <f t="shared" ref="W38:X38" si="94">SUM(W39:W42)</f>
        <v>12553.369560000001</v>
      </c>
      <c r="X38" s="25">
        <f t="shared" si="94"/>
        <v>0</v>
      </c>
      <c r="Y38" s="24">
        <f t="shared" si="88"/>
        <v>0</v>
      </c>
      <c r="Z38" s="25">
        <f t="shared" ref="Z38:AA38" si="95">SUM(Z39:Z42)</f>
        <v>2040.42858</v>
      </c>
      <c r="AA38" s="25">
        <f t="shared" si="95"/>
        <v>0</v>
      </c>
      <c r="AB38" s="24">
        <f t="shared" ref="AB38" si="96">AA38/Z38%</f>
        <v>0</v>
      </c>
      <c r="AC38" s="25">
        <f t="shared" ref="AC38:AD38" si="97">SUM(AC39:AC42)</f>
        <v>0</v>
      </c>
      <c r="AD38" s="25">
        <f t="shared" si="97"/>
        <v>0</v>
      </c>
      <c r="AE38" s="24" t="s">
        <v>56</v>
      </c>
      <c r="AF38" s="25">
        <f t="shared" ref="AF38:AG38" si="98">SUM(AF39:AF42)</f>
        <v>0</v>
      </c>
      <c r="AG38" s="25">
        <f t="shared" si="98"/>
        <v>0</v>
      </c>
      <c r="AH38" s="24" t="s">
        <v>56</v>
      </c>
      <c r="AI38" s="25">
        <v>0</v>
      </c>
      <c r="AJ38" s="25">
        <v>0</v>
      </c>
      <c r="AK38" s="25" t="s">
        <v>56</v>
      </c>
      <c r="AL38" s="25">
        <f>SUM(AL39:AL42)</f>
        <v>5563</v>
      </c>
      <c r="AM38" s="25">
        <v>0</v>
      </c>
      <c r="AN38" s="25">
        <v>0</v>
      </c>
      <c r="AO38" s="25">
        <f t="shared" si="93"/>
        <v>0</v>
      </c>
      <c r="AP38" s="25">
        <f t="shared" si="93"/>
        <v>0</v>
      </c>
      <c r="AQ38" s="24" t="s">
        <v>56</v>
      </c>
      <c r="AR38" s="25">
        <f t="shared" ref="AR38:AS38" si="99">SUM(AR39:AR42)</f>
        <v>0</v>
      </c>
      <c r="AS38" s="25">
        <f t="shared" si="99"/>
        <v>0</v>
      </c>
      <c r="AT38" s="24" t="s">
        <v>56</v>
      </c>
      <c r="AU38" s="25">
        <v>0</v>
      </c>
      <c r="AV38" s="25">
        <v>0</v>
      </c>
      <c r="AW38" s="25" t="s">
        <v>56</v>
      </c>
      <c r="AX38" s="25">
        <f>AX39+AX40+AX41+AX42</f>
        <v>80000</v>
      </c>
      <c r="AY38" s="25">
        <v>0</v>
      </c>
      <c r="AZ38" s="25">
        <v>0</v>
      </c>
      <c r="BA38" s="25">
        <f t="shared" si="93"/>
        <v>11000</v>
      </c>
      <c r="BB38" s="25">
        <f t="shared" si="93"/>
        <v>0</v>
      </c>
      <c r="BC38" s="24">
        <f t="shared" ref="BC38" si="100">BB38/BA38%</f>
        <v>0</v>
      </c>
      <c r="BD38" s="25">
        <f>BD39+BD40+BD41+BD42</f>
        <v>44.735190000000003</v>
      </c>
      <c r="BE38" s="25">
        <v>0</v>
      </c>
      <c r="BF38" s="25">
        <v>0</v>
      </c>
      <c r="BG38" s="25">
        <f t="shared" ref="BG38:BH38" si="101">SUM(BG39:BG42)</f>
        <v>0</v>
      </c>
      <c r="BH38" s="25">
        <f t="shared" si="101"/>
        <v>0</v>
      </c>
      <c r="BI38" s="24" t="s">
        <v>56</v>
      </c>
      <c r="BJ38" s="25">
        <f t="shared" si="93"/>
        <v>2835</v>
      </c>
      <c r="BK38" s="25">
        <f t="shared" si="93"/>
        <v>0</v>
      </c>
      <c r="BL38" s="24">
        <f t="shared" ref="BL38:BL44" si="102">BK38/BJ38%</f>
        <v>0</v>
      </c>
      <c r="BM38" s="25">
        <f t="shared" si="93"/>
        <v>0</v>
      </c>
      <c r="BN38" s="25">
        <f t="shared" si="93"/>
        <v>0</v>
      </c>
      <c r="BO38" s="24" t="s">
        <v>56</v>
      </c>
      <c r="BP38" s="25">
        <f t="shared" si="93"/>
        <v>108786.4</v>
      </c>
      <c r="BQ38" s="25">
        <f t="shared" si="93"/>
        <v>0</v>
      </c>
      <c r="BR38" s="25">
        <v>0</v>
      </c>
      <c r="BS38" s="25">
        <v>0</v>
      </c>
      <c r="BT38" s="24">
        <v>0</v>
      </c>
      <c r="BU38" s="25" t="s">
        <v>56</v>
      </c>
      <c r="BV38" s="25">
        <v>0</v>
      </c>
      <c r="BW38" s="24">
        <v>0</v>
      </c>
      <c r="BX38" s="25" t="s">
        <v>56</v>
      </c>
      <c r="BY38" s="25">
        <f t="shared" si="93"/>
        <v>4311.1000000000004</v>
      </c>
      <c r="BZ38" s="25">
        <f t="shared" si="93"/>
        <v>283.7</v>
      </c>
      <c r="CA38" s="24">
        <f>(BZ38/BY38)*100</f>
        <v>6.5806870636264518</v>
      </c>
      <c r="CB38" s="25">
        <f t="shared" si="93"/>
        <v>0</v>
      </c>
      <c r="CC38" s="25">
        <f t="shared" ref="CC38" si="103">SUM(CC39:CC42)</f>
        <v>0</v>
      </c>
      <c r="CD38" s="26" t="s">
        <v>56</v>
      </c>
      <c r="CE38" s="25">
        <v>0</v>
      </c>
      <c r="CF38" s="24">
        <v>0</v>
      </c>
      <c r="CG38" s="25" t="s">
        <v>56</v>
      </c>
      <c r="CH38" s="25">
        <f t="shared" si="93"/>
        <v>0</v>
      </c>
      <c r="CI38" s="25">
        <f t="shared" ref="CI38" si="104">SUM(CI39:CI42)</f>
        <v>0</v>
      </c>
      <c r="CJ38" s="24" t="s">
        <v>56</v>
      </c>
      <c r="CK38" s="25">
        <f t="shared" ref="CK38:EJ38" si="105">SUM(CK39:CK42)</f>
        <v>0</v>
      </c>
      <c r="CL38" s="25">
        <f t="shared" si="105"/>
        <v>0</v>
      </c>
      <c r="CM38" s="26" t="s">
        <v>56</v>
      </c>
      <c r="CN38" s="25">
        <f t="shared" si="105"/>
        <v>90223.296139999991</v>
      </c>
      <c r="CO38" s="25">
        <f t="shared" si="105"/>
        <v>0</v>
      </c>
      <c r="CP38" s="26">
        <v>0</v>
      </c>
      <c r="CQ38" s="25">
        <f t="shared" si="105"/>
        <v>192.98988</v>
      </c>
      <c r="CR38" s="25">
        <f t="shared" si="105"/>
        <v>0</v>
      </c>
      <c r="CS38" s="26">
        <f t="shared" ref="CS38" si="106">CR38/CQ38%</f>
        <v>0</v>
      </c>
      <c r="CT38" s="25">
        <f t="shared" si="105"/>
        <v>177.94042999999999</v>
      </c>
      <c r="CU38" s="25">
        <f t="shared" si="105"/>
        <v>0</v>
      </c>
      <c r="CV38" s="26" t="s">
        <v>56</v>
      </c>
      <c r="CW38" s="25">
        <f t="shared" si="105"/>
        <v>70999.669000000009</v>
      </c>
      <c r="CX38" s="25">
        <f t="shared" si="105"/>
        <v>0</v>
      </c>
      <c r="CY38" s="26">
        <f t="shared" ref="CY38" si="107">CX38/CW38%</f>
        <v>0</v>
      </c>
      <c r="CZ38" s="25">
        <f t="shared" ref="CZ38:DA38" si="108">SUM(CZ39:CZ42)</f>
        <v>0</v>
      </c>
      <c r="DA38" s="25">
        <f t="shared" si="108"/>
        <v>0</v>
      </c>
      <c r="DB38" s="26" t="s">
        <v>56</v>
      </c>
      <c r="DC38" s="25">
        <f t="shared" ref="DC38:DD38" si="109">SUM(DC39:DC42)</f>
        <v>375324.22022000002</v>
      </c>
      <c r="DD38" s="25">
        <f t="shared" si="109"/>
        <v>0</v>
      </c>
      <c r="DE38" s="26">
        <v>0</v>
      </c>
      <c r="DF38" s="25">
        <f t="shared" ref="DF38:DG38" si="110">SUM(DF39:DF42)</f>
        <v>13264.9</v>
      </c>
      <c r="DG38" s="25">
        <f t="shared" si="110"/>
        <v>0</v>
      </c>
      <c r="DH38" s="26">
        <v>0</v>
      </c>
      <c r="DI38" s="25">
        <f t="shared" si="105"/>
        <v>85852.900000000009</v>
      </c>
      <c r="DJ38" s="25">
        <f t="shared" si="105"/>
        <v>0</v>
      </c>
      <c r="DK38" s="26">
        <f t="shared" ref="DK38" si="111">DJ38/DI38%</f>
        <v>0</v>
      </c>
      <c r="DL38" s="25">
        <f>SUM(DL39:DL42)</f>
        <v>0</v>
      </c>
      <c r="DM38" s="25">
        <f>SUM(DM39:DM42)</f>
        <v>0</v>
      </c>
      <c r="DN38" s="25" t="s">
        <v>56</v>
      </c>
      <c r="DO38" s="25">
        <f t="shared" ref="DO38:DP38" si="112">SUM(DO39:DO42)</f>
        <v>0</v>
      </c>
      <c r="DP38" s="25">
        <f t="shared" si="112"/>
        <v>0</v>
      </c>
      <c r="DQ38" s="25" t="s">
        <v>56</v>
      </c>
      <c r="DR38" s="25">
        <f>SUM(DR39:DR42)</f>
        <v>0</v>
      </c>
      <c r="DS38" s="25">
        <f>SUM(DS39:DS42)</f>
        <v>0</v>
      </c>
      <c r="DT38" s="26" t="s">
        <v>56</v>
      </c>
      <c r="DU38" s="25">
        <f>SUM(DU39:DU42)</f>
        <v>10550.1</v>
      </c>
      <c r="DV38" s="25">
        <f>SUM(DV39:DV42)</f>
        <v>0</v>
      </c>
      <c r="DW38" s="25">
        <v>0</v>
      </c>
      <c r="DX38" s="25">
        <f t="shared" si="105"/>
        <v>58600</v>
      </c>
      <c r="DY38" s="25">
        <f t="shared" si="105"/>
        <v>0</v>
      </c>
      <c r="DZ38" s="25">
        <v>0</v>
      </c>
      <c r="EA38" s="25">
        <f t="shared" ref="EA38:EB38" si="113">SUM(EA39:EA42)</f>
        <v>8937.01</v>
      </c>
      <c r="EB38" s="25">
        <f t="shared" si="113"/>
        <v>0</v>
      </c>
      <c r="EC38" s="25">
        <v>0</v>
      </c>
      <c r="ED38" s="23">
        <f t="shared" si="55"/>
        <v>3697385.3430000008</v>
      </c>
      <c r="EE38" s="23">
        <f t="shared" si="56"/>
        <v>929799.4625599999</v>
      </c>
      <c r="EF38" s="24">
        <f t="shared" si="57"/>
        <v>25.147486028750659</v>
      </c>
      <c r="EG38" s="25">
        <f t="shared" si="105"/>
        <v>29710</v>
      </c>
      <c r="EH38" s="25">
        <f t="shared" si="105"/>
        <v>7129.02</v>
      </c>
      <c r="EI38" s="24">
        <f t="shared" si="26"/>
        <v>23.995355099293167</v>
      </c>
      <c r="EJ38" s="25">
        <f t="shared" si="105"/>
        <v>114.1</v>
      </c>
      <c r="EK38" s="25">
        <f t="shared" ref="EK38:GX38" si="114">SUM(EK39:EK42)</f>
        <v>0</v>
      </c>
      <c r="EL38" s="25">
        <v>0</v>
      </c>
      <c r="EM38" s="25">
        <f t="shared" si="114"/>
        <v>40.908000000000001</v>
      </c>
      <c r="EN38" s="25">
        <f t="shared" si="114"/>
        <v>0</v>
      </c>
      <c r="EO38" s="24">
        <f t="shared" ref="EO38:EO44" si="115">EN38/EM38%</f>
        <v>0</v>
      </c>
      <c r="EP38" s="25">
        <f t="shared" si="114"/>
        <v>1411369.3</v>
      </c>
      <c r="EQ38" s="25">
        <f t="shared" si="114"/>
        <v>341438.73200000002</v>
      </c>
      <c r="ER38" s="24">
        <f t="shared" si="58"/>
        <v>24.192019197243415</v>
      </c>
      <c r="ES38" s="24">
        <f>SUM(ES39:ES42)</f>
        <v>1951326.0000000002</v>
      </c>
      <c r="ET38" s="24">
        <f>SUM(ET39:ET42)</f>
        <v>533627.32984999998</v>
      </c>
      <c r="EU38" s="27">
        <f t="shared" si="59"/>
        <v>27.346908197297626</v>
      </c>
      <c r="EV38" s="25">
        <f t="shared" si="114"/>
        <v>37922.899999999994</v>
      </c>
      <c r="EW38" s="39">
        <f t="shared" si="114"/>
        <v>8762</v>
      </c>
      <c r="EX38" s="26">
        <f t="shared" si="60"/>
        <v>23.104773105432344</v>
      </c>
      <c r="EY38" s="25">
        <f t="shared" si="114"/>
        <v>30529.200000000001</v>
      </c>
      <c r="EZ38" s="25">
        <f t="shared" si="114"/>
        <v>0</v>
      </c>
      <c r="FA38" s="24">
        <f>EZ38/EY38%</f>
        <v>0</v>
      </c>
      <c r="FB38" s="25">
        <f t="shared" si="114"/>
        <v>6466.6</v>
      </c>
      <c r="FC38" s="25">
        <f t="shared" si="114"/>
        <v>0</v>
      </c>
      <c r="FD38" s="25">
        <v>0</v>
      </c>
      <c r="FE38" s="25">
        <f t="shared" si="114"/>
        <v>0</v>
      </c>
      <c r="FF38" s="25">
        <f t="shared" si="114"/>
        <v>0</v>
      </c>
      <c r="FG38" s="24" t="s">
        <v>56</v>
      </c>
      <c r="FH38" s="25">
        <f t="shared" si="114"/>
        <v>81110.035000000003</v>
      </c>
      <c r="FI38" s="25">
        <f t="shared" si="114"/>
        <v>6080.1862899999996</v>
      </c>
      <c r="FJ38" s="24">
        <f t="shared" ref="FJ38:FJ44" si="116">FI38/FH38%</f>
        <v>7.4962195368304299</v>
      </c>
      <c r="FK38" s="25">
        <f t="shared" ref="FK38:FL38" si="117">SUM(FK39:FK42)</f>
        <v>0</v>
      </c>
      <c r="FL38" s="25">
        <f t="shared" si="117"/>
        <v>0</v>
      </c>
      <c r="FM38" s="24" t="s">
        <v>56</v>
      </c>
      <c r="FN38" s="25">
        <f t="shared" si="114"/>
        <v>300.3</v>
      </c>
      <c r="FO38" s="25">
        <f t="shared" si="114"/>
        <v>0</v>
      </c>
      <c r="FP38" s="24">
        <f t="shared" ref="FP38:FP44" si="118">FO38/FN38%</f>
        <v>0</v>
      </c>
      <c r="FQ38" s="25">
        <f t="shared" si="114"/>
        <v>445.5</v>
      </c>
      <c r="FR38" s="25">
        <f t="shared" si="114"/>
        <v>114.19999999999999</v>
      </c>
      <c r="FS38" s="24">
        <f t="shared" ref="FS38:FS44" si="119">FR38/FQ38%</f>
        <v>25.634118967452299</v>
      </c>
      <c r="FT38" s="25">
        <f t="shared" ref="FT38:FU38" si="120">SUM(FT39:FT42)</f>
        <v>14</v>
      </c>
      <c r="FU38" s="25">
        <f t="shared" si="120"/>
        <v>0</v>
      </c>
      <c r="FV38" s="24">
        <f t="shared" ref="FV38:FV41" si="121">FU38/FT38%</f>
        <v>0</v>
      </c>
      <c r="FW38" s="25">
        <f t="shared" si="114"/>
        <v>5040.1000000000004</v>
      </c>
      <c r="FX38" s="25">
        <f t="shared" si="114"/>
        <v>1436.5420000000001</v>
      </c>
      <c r="FY38" s="24">
        <f t="shared" ref="FY38:FY44" si="122">FX38/FW38%</f>
        <v>28.502251939445646</v>
      </c>
      <c r="FZ38" s="25">
        <f t="shared" si="114"/>
        <v>2498.5</v>
      </c>
      <c r="GA38" s="25">
        <f t="shared" si="114"/>
        <v>742.09386000000006</v>
      </c>
      <c r="GB38" s="24">
        <f t="shared" ref="GB38:GB44" si="123">GA38/FZ38%</f>
        <v>29.701575345207129</v>
      </c>
      <c r="GC38" s="25">
        <f t="shared" si="114"/>
        <v>0</v>
      </c>
      <c r="GD38" s="25">
        <f t="shared" si="114"/>
        <v>0</v>
      </c>
      <c r="GE38" s="24" t="s">
        <v>56</v>
      </c>
      <c r="GF38" s="25">
        <f t="shared" si="114"/>
        <v>0</v>
      </c>
      <c r="GG38" s="25">
        <f t="shared" si="114"/>
        <v>0</v>
      </c>
      <c r="GH38" s="24" t="s">
        <v>56</v>
      </c>
      <c r="GI38" s="25">
        <f t="shared" ref="GI38:GJ38" si="124">SUM(GI39:GI42)</f>
        <v>330.8</v>
      </c>
      <c r="GJ38" s="25">
        <f t="shared" si="124"/>
        <v>1.3839000000000001</v>
      </c>
      <c r="GK38" s="24">
        <f t="shared" si="40"/>
        <v>0.41834945586457073</v>
      </c>
      <c r="GL38" s="25">
        <f t="shared" ref="GL38:GM38" si="125">SUM(GL39:GL42)</f>
        <v>476.2</v>
      </c>
      <c r="GM38" s="25">
        <f t="shared" si="125"/>
        <v>0</v>
      </c>
      <c r="GN38" s="24">
        <f t="shared" ref="GN38:GN41" si="126">GM38/GL38%</f>
        <v>0</v>
      </c>
      <c r="GO38" s="25">
        <f t="shared" si="114"/>
        <v>2804.6</v>
      </c>
      <c r="GP38" s="25">
        <f t="shared" si="114"/>
        <v>706.55400000000009</v>
      </c>
      <c r="GQ38" s="24">
        <f t="shared" si="83"/>
        <v>25.192683448620127</v>
      </c>
      <c r="GR38" s="25">
        <f t="shared" si="114"/>
        <v>11441.2</v>
      </c>
      <c r="GS38" s="25">
        <f t="shared" si="114"/>
        <v>2381.1999999999998</v>
      </c>
      <c r="GT38" s="24">
        <f>GS38/GR38%</f>
        <v>20.812502185085478</v>
      </c>
      <c r="GU38" s="25">
        <f t="shared" si="114"/>
        <v>12839.800000000001</v>
      </c>
      <c r="GV38" s="25">
        <f t="shared" si="114"/>
        <v>0</v>
      </c>
      <c r="GW38" s="24">
        <f t="shared" ref="GW38:GW44" si="127">GV38/GU38%</f>
        <v>0</v>
      </c>
      <c r="GX38" s="25">
        <f t="shared" si="114"/>
        <v>5596.7000000000007</v>
      </c>
      <c r="GY38" s="25">
        <f t="shared" ref="GY38" si="128">SUM(GY39:GY42)</f>
        <v>0</v>
      </c>
      <c r="GZ38" s="25">
        <v>0</v>
      </c>
      <c r="HA38" s="25">
        <f>HA39+HA40+HA41+HA42</f>
        <v>107008.6</v>
      </c>
      <c r="HB38" s="25">
        <f>HB39+HB40+HB41+HB42</f>
        <v>27380.220659999999</v>
      </c>
      <c r="HC38" s="27">
        <f t="shared" si="61"/>
        <v>25.586934751038697</v>
      </c>
      <c r="HD38" s="25">
        <f t="shared" ref="HD38" si="129">SUM(HD39:HD42)</f>
        <v>0</v>
      </c>
      <c r="HE38" s="25">
        <f t="shared" ref="HE38" si="130">SUM(HE39:HE42)</f>
        <v>0</v>
      </c>
      <c r="HF38" s="25" t="s">
        <v>56</v>
      </c>
      <c r="HG38" s="28">
        <f t="shared" si="63"/>
        <v>918006.87442999997</v>
      </c>
      <c r="HH38" s="28">
        <f t="shared" si="64"/>
        <v>0</v>
      </c>
      <c r="HI38" s="26">
        <f t="shared" si="46"/>
        <v>0</v>
      </c>
      <c r="HJ38" s="29">
        <v>0</v>
      </c>
      <c r="HK38" s="29">
        <v>0</v>
      </c>
      <c r="HL38" s="29" t="s">
        <v>56</v>
      </c>
      <c r="HM38" s="26">
        <f>SUM(HM39:HM42)</f>
        <v>18800.7</v>
      </c>
      <c r="HN38" s="26">
        <f>SUM(HN39:HN42)</f>
        <v>0</v>
      </c>
      <c r="HO38" s="26">
        <v>0</v>
      </c>
      <c r="HP38" s="26">
        <f>SUM(HP39:HP42)</f>
        <v>146348.9</v>
      </c>
      <c r="HQ38" s="29">
        <v>0</v>
      </c>
      <c r="HR38" s="29">
        <v>0</v>
      </c>
      <c r="HS38" s="29">
        <v>0</v>
      </c>
      <c r="HT38" s="29">
        <v>0</v>
      </c>
      <c r="HU38" s="29" t="s">
        <v>56</v>
      </c>
      <c r="HV38" s="25">
        <f t="shared" ref="HV38:HW38" si="131">SUM(HV39:HV42)</f>
        <v>5940</v>
      </c>
      <c r="HW38" s="25">
        <f t="shared" si="131"/>
        <v>0</v>
      </c>
      <c r="HX38" s="24">
        <v>0</v>
      </c>
      <c r="HY38" s="25">
        <f t="shared" ref="HY38" si="132">SUM(HY39:HY42)</f>
        <v>4759.3321999999998</v>
      </c>
      <c r="HZ38" s="25">
        <f t="shared" ref="HZ38" si="133">SUM(HZ39:HZ42)</f>
        <v>0</v>
      </c>
      <c r="IA38" s="25">
        <v>0</v>
      </c>
      <c r="IB38" s="25">
        <v>0</v>
      </c>
      <c r="IC38" s="25">
        <v>0</v>
      </c>
      <c r="ID38" s="25" t="s">
        <v>56</v>
      </c>
      <c r="IE38" s="25">
        <f>SUM(IE39:IE42)</f>
        <v>60</v>
      </c>
      <c r="IF38" s="25">
        <v>0</v>
      </c>
      <c r="IG38" s="25">
        <v>0</v>
      </c>
      <c r="IH38" s="25">
        <f>SUM(IH39:IH42)</f>
        <v>48.074059999999996</v>
      </c>
      <c r="II38" s="25">
        <f>SUM(II39:II42)</f>
        <v>0</v>
      </c>
      <c r="IJ38" s="25">
        <v>0</v>
      </c>
      <c r="IK38" s="25">
        <v>0</v>
      </c>
      <c r="IL38" s="25">
        <v>0</v>
      </c>
      <c r="IM38" s="24" t="s">
        <v>56</v>
      </c>
      <c r="IN38" s="25">
        <f>SUM(IN39:IN42)</f>
        <v>1020.40817</v>
      </c>
      <c r="IO38" s="25">
        <v>0</v>
      </c>
      <c r="IP38" s="25">
        <v>0</v>
      </c>
      <c r="IQ38" s="25">
        <f>SUM(IQ39:IQ42)</f>
        <v>741029.46</v>
      </c>
      <c r="IR38" s="25">
        <v>0</v>
      </c>
      <c r="IS38" s="25"/>
      <c r="IT38" s="11">
        <f t="shared" si="65"/>
        <v>6208548.9114300003</v>
      </c>
      <c r="IU38" s="11">
        <f>SUM(IU39:IU42)</f>
        <v>1135528.9625600001</v>
      </c>
      <c r="IV38" s="10">
        <f t="shared" si="67"/>
        <v>18.289764303370148</v>
      </c>
      <c r="IW38" s="17"/>
      <c r="IX38" s="16"/>
      <c r="IZ38" s="18"/>
    </row>
    <row r="39" spans="1:260" x14ac:dyDescent="0.2">
      <c r="A39" s="13" t="s">
        <v>28</v>
      </c>
      <c r="B39" s="23">
        <f t="shared" si="47"/>
        <v>92371</v>
      </c>
      <c r="C39" s="23">
        <f t="shared" si="48"/>
        <v>53072.9</v>
      </c>
      <c r="D39" s="24">
        <f t="shared" si="49"/>
        <v>57.456236264628515</v>
      </c>
      <c r="E39" s="30">
        <v>92371</v>
      </c>
      <c r="F39" s="31">
        <v>53072.9</v>
      </c>
      <c r="G39" s="31">
        <f t="shared" si="50"/>
        <v>57.456236264628515</v>
      </c>
      <c r="H39" s="30">
        <v>0</v>
      </c>
      <c r="I39" s="30">
        <v>0</v>
      </c>
      <c r="J39" s="31" t="s">
        <v>56</v>
      </c>
      <c r="K39" s="31">
        <v>0</v>
      </c>
      <c r="L39" s="31">
        <v>0</v>
      </c>
      <c r="M39" s="31" t="s">
        <v>56</v>
      </c>
      <c r="N39" s="23">
        <f t="shared" si="51"/>
        <v>82215.350879999998</v>
      </c>
      <c r="O39" s="23">
        <f t="shared" si="52"/>
        <v>169.6</v>
      </c>
      <c r="P39" s="24">
        <f t="shared" si="53"/>
        <v>0.2062875097955186</v>
      </c>
      <c r="Q39" s="31">
        <v>0</v>
      </c>
      <c r="R39" s="31">
        <v>0</v>
      </c>
      <c r="S39" s="31" t="s">
        <v>56</v>
      </c>
      <c r="T39" s="30">
        <v>0</v>
      </c>
      <c r="U39" s="31">
        <v>0</v>
      </c>
      <c r="V39" s="31" t="s">
        <v>56</v>
      </c>
      <c r="W39" s="30">
        <v>0</v>
      </c>
      <c r="X39" s="31">
        <v>0</v>
      </c>
      <c r="Y39" s="31" t="s">
        <v>56</v>
      </c>
      <c r="Z39" s="30">
        <v>0</v>
      </c>
      <c r="AA39" s="31">
        <v>0</v>
      </c>
      <c r="AB39" s="31" t="s">
        <v>56</v>
      </c>
      <c r="AC39" s="30">
        <v>0</v>
      </c>
      <c r="AD39" s="31">
        <v>0</v>
      </c>
      <c r="AE39" s="31" t="s">
        <v>56</v>
      </c>
      <c r="AF39" s="30">
        <v>0</v>
      </c>
      <c r="AG39" s="31">
        <v>0</v>
      </c>
      <c r="AH39" s="31" t="s">
        <v>56</v>
      </c>
      <c r="AI39" s="31">
        <v>0</v>
      </c>
      <c r="AJ39" s="31">
        <v>0</v>
      </c>
      <c r="AK39" s="31" t="s">
        <v>56</v>
      </c>
      <c r="AL39" s="31">
        <f>1083400/1000</f>
        <v>1083.4000000000001</v>
      </c>
      <c r="AM39" s="31">
        <v>0</v>
      </c>
      <c r="AN39" s="31">
        <v>0</v>
      </c>
      <c r="AO39" s="31">
        <v>0</v>
      </c>
      <c r="AP39" s="31">
        <v>0</v>
      </c>
      <c r="AQ39" s="31" t="s">
        <v>56</v>
      </c>
      <c r="AR39" s="31">
        <v>0</v>
      </c>
      <c r="AS39" s="31">
        <v>0</v>
      </c>
      <c r="AT39" s="31" t="s">
        <v>56</v>
      </c>
      <c r="AU39" s="31">
        <v>0</v>
      </c>
      <c r="AV39" s="31">
        <v>0</v>
      </c>
      <c r="AW39" s="31" t="s">
        <v>56</v>
      </c>
      <c r="AX39" s="31">
        <v>0</v>
      </c>
      <c r="AY39" s="31">
        <v>0</v>
      </c>
      <c r="AZ39" s="31" t="s">
        <v>56</v>
      </c>
      <c r="BA39" s="31">
        <f>11000000/1000</f>
        <v>11000</v>
      </c>
      <c r="BB39" s="31">
        <v>0</v>
      </c>
      <c r="BC39" s="31">
        <v>0</v>
      </c>
      <c r="BD39" s="31">
        <v>0</v>
      </c>
      <c r="BE39" s="31">
        <v>0</v>
      </c>
      <c r="BF39" s="31" t="s">
        <v>56</v>
      </c>
      <c r="BG39" s="31">
        <v>0</v>
      </c>
      <c r="BH39" s="31">
        <v>0</v>
      </c>
      <c r="BI39" s="31" t="s">
        <v>56</v>
      </c>
      <c r="BJ39" s="30">
        <f>2835000/1000</f>
        <v>2835</v>
      </c>
      <c r="BK39" s="31">
        <v>0</v>
      </c>
      <c r="BL39" s="31">
        <f t="shared" si="102"/>
        <v>0</v>
      </c>
      <c r="BM39" s="30">
        <v>0</v>
      </c>
      <c r="BN39" s="31">
        <v>0</v>
      </c>
      <c r="BO39" s="31" t="s">
        <v>56</v>
      </c>
      <c r="BP39" s="30">
        <v>0</v>
      </c>
      <c r="BQ39" s="31">
        <v>0</v>
      </c>
      <c r="BR39" s="31" t="s">
        <v>56</v>
      </c>
      <c r="BS39" s="31">
        <v>0</v>
      </c>
      <c r="BT39" s="31">
        <v>0</v>
      </c>
      <c r="BU39" s="31" t="s">
        <v>56</v>
      </c>
      <c r="BV39" s="31">
        <v>0</v>
      </c>
      <c r="BW39" s="31">
        <v>0</v>
      </c>
      <c r="BX39" s="31" t="s">
        <v>56</v>
      </c>
      <c r="BY39" s="30">
        <v>3055</v>
      </c>
      <c r="BZ39" s="31">
        <v>169.6</v>
      </c>
      <c r="CA39" s="31">
        <f>BZ39/BY39%</f>
        <v>5.5515548281505724</v>
      </c>
      <c r="CB39" s="33">
        <v>0</v>
      </c>
      <c r="CC39" s="33">
        <v>0</v>
      </c>
      <c r="CD39" s="33" t="s">
        <v>56</v>
      </c>
      <c r="CE39" s="33">
        <v>0</v>
      </c>
      <c r="CF39" s="33">
        <v>0</v>
      </c>
      <c r="CG39" s="33" t="s">
        <v>56</v>
      </c>
      <c r="CH39" s="33">
        <v>0</v>
      </c>
      <c r="CI39" s="33">
        <v>0</v>
      </c>
      <c r="CJ39" s="31" t="s">
        <v>56</v>
      </c>
      <c r="CK39" s="33">
        <v>0</v>
      </c>
      <c r="CL39" s="33">
        <v>0</v>
      </c>
      <c r="CM39" s="33" t="s">
        <v>56</v>
      </c>
      <c r="CN39" s="33">
        <f>41713400/1000</f>
        <v>41713.4</v>
      </c>
      <c r="CO39" s="33">
        <v>0</v>
      </c>
      <c r="CP39" s="33">
        <v>0</v>
      </c>
      <c r="CQ39" s="33">
        <f>192989.88/1000</f>
        <v>192.98988</v>
      </c>
      <c r="CR39" s="33">
        <v>0</v>
      </c>
      <c r="CS39" s="33">
        <v>0</v>
      </c>
      <c r="CT39" s="33">
        <v>0</v>
      </c>
      <c r="CU39" s="33">
        <v>0</v>
      </c>
      <c r="CV39" s="33" t="s">
        <v>56</v>
      </c>
      <c r="CW39" s="33">
        <f>8242061/1000</f>
        <v>8242.0609999999997</v>
      </c>
      <c r="CX39" s="33">
        <v>0</v>
      </c>
      <c r="CY39" s="33">
        <v>0</v>
      </c>
      <c r="CZ39" s="33">
        <v>0</v>
      </c>
      <c r="DA39" s="33">
        <v>0</v>
      </c>
      <c r="DB39" s="33" t="s">
        <v>56</v>
      </c>
      <c r="DC39" s="33">
        <v>0</v>
      </c>
      <c r="DD39" s="33">
        <v>0</v>
      </c>
      <c r="DE39" s="33" t="s">
        <v>56</v>
      </c>
      <c r="DF39" s="33">
        <v>0</v>
      </c>
      <c r="DG39" s="33">
        <v>0</v>
      </c>
      <c r="DH39" s="33" t="s">
        <v>56</v>
      </c>
      <c r="DI39" s="33">
        <f>11693500/1000</f>
        <v>11693.5</v>
      </c>
      <c r="DJ39" s="33">
        <v>0</v>
      </c>
      <c r="DK39" s="33">
        <v>0</v>
      </c>
      <c r="DL39" s="33">
        <v>0</v>
      </c>
      <c r="DM39" s="33">
        <v>0</v>
      </c>
      <c r="DN39" s="33" t="s">
        <v>56</v>
      </c>
      <c r="DO39" s="33">
        <v>0</v>
      </c>
      <c r="DP39" s="33">
        <v>0</v>
      </c>
      <c r="DQ39" s="33" t="s">
        <v>56</v>
      </c>
      <c r="DR39" s="33">
        <v>0</v>
      </c>
      <c r="DS39" s="33">
        <v>0</v>
      </c>
      <c r="DT39" s="33" t="s">
        <v>56</v>
      </c>
      <c r="DU39" s="33">
        <v>0</v>
      </c>
      <c r="DV39" s="33">
        <v>0</v>
      </c>
      <c r="DW39" s="33" t="s">
        <v>56</v>
      </c>
      <c r="DX39" s="33">
        <v>2400</v>
      </c>
      <c r="DY39" s="33">
        <v>0</v>
      </c>
      <c r="DZ39" s="33">
        <v>0</v>
      </c>
      <c r="EA39" s="33">
        <v>0</v>
      </c>
      <c r="EB39" s="33">
        <v>0</v>
      </c>
      <c r="EC39" s="33" t="s">
        <v>56</v>
      </c>
      <c r="ED39" s="23">
        <f t="shared" si="55"/>
        <v>327091.57899999997</v>
      </c>
      <c r="EE39" s="23">
        <f t="shared" si="56"/>
        <v>93684.989389999988</v>
      </c>
      <c r="EF39" s="24">
        <f t="shared" si="57"/>
        <v>28.641822475655971</v>
      </c>
      <c r="EG39" s="31">
        <f>1973500/1000</f>
        <v>1973.5</v>
      </c>
      <c r="EH39" s="31">
        <v>495</v>
      </c>
      <c r="EI39" s="31">
        <f t="shared" si="26"/>
        <v>25.082341018495061</v>
      </c>
      <c r="EJ39" s="31">
        <v>0</v>
      </c>
      <c r="EK39" s="31">
        <v>0</v>
      </c>
      <c r="EL39" s="31" t="s">
        <v>56</v>
      </c>
      <c r="EM39" s="34">
        <f>1264/1000</f>
        <v>1.264</v>
      </c>
      <c r="EN39" s="34">
        <v>0</v>
      </c>
      <c r="EO39" s="31">
        <f t="shared" si="115"/>
        <v>0</v>
      </c>
      <c r="EP39" s="34">
        <v>100123.3</v>
      </c>
      <c r="EQ39" s="31">
        <v>35786.762999999999</v>
      </c>
      <c r="ER39" s="31">
        <f t="shared" si="58"/>
        <v>35.742692260442873</v>
      </c>
      <c r="ES39" s="31">
        <v>187347.1</v>
      </c>
      <c r="ET39" s="31">
        <v>50095.3</v>
      </c>
      <c r="EU39" s="36">
        <f t="shared" si="59"/>
        <v>26.739298339819513</v>
      </c>
      <c r="EV39" s="34">
        <f>17633700/1000</f>
        <v>17633.7</v>
      </c>
      <c r="EW39" s="33">
        <v>3906.4</v>
      </c>
      <c r="EX39" s="33">
        <f t="shared" si="60"/>
        <v>22.153036515308752</v>
      </c>
      <c r="EY39" s="34">
        <f>5088900/1000</f>
        <v>5088.8999999999996</v>
      </c>
      <c r="EZ39" s="31">
        <v>0</v>
      </c>
      <c r="FA39" s="31">
        <f>EZ39/EY39%</f>
        <v>0</v>
      </c>
      <c r="FB39" s="31">
        <v>0</v>
      </c>
      <c r="FC39" s="31">
        <v>0</v>
      </c>
      <c r="FD39" s="31" t="s">
        <v>56</v>
      </c>
      <c r="FE39" s="34">
        <v>0</v>
      </c>
      <c r="FF39" s="34">
        <v>0</v>
      </c>
      <c r="FG39" s="31" t="s">
        <v>56</v>
      </c>
      <c r="FH39" s="34">
        <f>1297315/1000</f>
        <v>1297.3150000000001</v>
      </c>
      <c r="FI39" s="31">
        <f>114549.53/1000</f>
        <v>114.54953</v>
      </c>
      <c r="FJ39" s="31">
        <f t="shared" si="116"/>
        <v>8.8297391150183255</v>
      </c>
      <c r="FK39" s="34">
        <v>0</v>
      </c>
      <c r="FL39" s="34">
        <v>0</v>
      </c>
      <c r="FM39" s="31" t="s">
        <v>56</v>
      </c>
      <c r="FN39" s="34">
        <f>11400/1000</f>
        <v>11.4</v>
      </c>
      <c r="FO39" s="31">
        <v>0</v>
      </c>
      <c r="FP39" s="31">
        <f t="shared" si="118"/>
        <v>0</v>
      </c>
      <c r="FQ39" s="34">
        <f>159100/1000</f>
        <v>159.1</v>
      </c>
      <c r="FR39" s="31">
        <v>47.7</v>
      </c>
      <c r="FS39" s="31">
        <f t="shared" si="119"/>
        <v>29.981143934632311</v>
      </c>
      <c r="FT39" s="34">
        <v>0</v>
      </c>
      <c r="FU39" s="31">
        <v>0</v>
      </c>
      <c r="FV39" s="31" t="s">
        <v>56</v>
      </c>
      <c r="FW39" s="34">
        <f>545200/1000</f>
        <v>545.20000000000005</v>
      </c>
      <c r="FX39" s="31">
        <f>102583/1000</f>
        <v>102.583</v>
      </c>
      <c r="FY39" s="31">
        <f t="shared" si="122"/>
        <v>18.815663976522373</v>
      </c>
      <c r="FZ39" s="34">
        <f>443100/1000</f>
        <v>443.1</v>
      </c>
      <c r="GA39" s="31">
        <f>86513.86/1000</f>
        <v>86.513859999999994</v>
      </c>
      <c r="GB39" s="31">
        <f t="shared" si="123"/>
        <v>19.524680658993454</v>
      </c>
      <c r="GC39" s="34">
        <v>0</v>
      </c>
      <c r="GD39" s="34">
        <v>0</v>
      </c>
      <c r="GE39" s="31" t="s">
        <v>56</v>
      </c>
      <c r="GF39" s="35">
        <v>0</v>
      </c>
      <c r="GG39" s="31">
        <v>0</v>
      </c>
      <c r="GH39" s="31" t="s">
        <v>56</v>
      </c>
      <c r="GI39" s="35">
        <v>0</v>
      </c>
      <c r="GJ39" s="31">
        <v>0</v>
      </c>
      <c r="GK39" s="31" t="s">
        <v>56</v>
      </c>
      <c r="GL39" s="34">
        <v>0</v>
      </c>
      <c r="GM39" s="31">
        <v>0</v>
      </c>
      <c r="GN39" s="31" t="s">
        <v>56</v>
      </c>
      <c r="GO39" s="34">
        <f>374100/1000</f>
        <v>374.1</v>
      </c>
      <c r="GP39" s="31">
        <f>101128/1000</f>
        <v>101.128</v>
      </c>
      <c r="GQ39" s="31">
        <v>0</v>
      </c>
      <c r="GR39" s="34">
        <f>3852300/1000</f>
        <v>3852.3</v>
      </c>
      <c r="GS39" s="31">
        <v>1058.5</v>
      </c>
      <c r="GT39" s="31">
        <f>GS39/GR39%</f>
        <v>27.477091607611037</v>
      </c>
      <c r="GU39" s="34">
        <v>0</v>
      </c>
      <c r="GV39" s="31">
        <v>0</v>
      </c>
      <c r="GW39" s="31" t="s">
        <v>56</v>
      </c>
      <c r="GX39" s="31">
        <f>246300/1000</f>
        <v>246.3</v>
      </c>
      <c r="GY39" s="31">
        <v>0</v>
      </c>
      <c r="GZ39" s="31">
        <v>0</v>
      </c>
      <c r="HA39" s="31">
        <f>(146500+7848500)/1000</f>
        <v>7995</v>
      </c>
      <c r="HB39" s="31">
        <f>1890552/1000</f>
        <v>1890.5519999999999</v>
      </c>
      <c r="HC39" s="36">
        <f t="shared" si="61"/>
        <v>23.646679174484049</v>
      </c>
      <c r="HD39" s="31">
        <v>0</v>
      </c>
      <c r="HE39" s="31">
        <v>0</v>
      </c>
      <c r="HF39" s="31" t="s">
        <v>56</v>
      </c>
      <c r="HG39" s="28">
        <f t="shared" si="63"/>
        <v>46792.2</v>
      </c>
      <c r="HH39" s="28">
        <f t="shared" si="64"/>
        <v>0</v>
      </c>
      <c r="HI39" s="26">
        <f t="shared" si="46"/>
        <v>0</v>
      </c>
      <c r="HJ39" s="37">
        <v>0</v>
      </c>
      <c r="HK39" s="37">
        <v>0</v>
      </c>
      <c r="HL39" s="37" t="s">
        <v>56</v>
      </c>
      <c r="HM39" s="33">
        <f>18800700/1000</f>
        <v>18800.7</v>
      </c>
      <c r="HN39" s="33">
        <v>0</v>
      </c>
      <c r="HO39" s="33">
        <v>0</v>
      </c>
      <c r="HP39" s="33">
        <f>24991500/1000</f>
        <v>24991.5</v>
      </c>
      <c r="HQ39" s="37">
        <v>0</v>
      </c>
      <c r="HR39" s="37">
        <v>0</v>
      </c>
      <c r="HS39" s="37">
        <v>0</v>
      </c>
      <c r="HT39" s="37">
        <v>0</v>
      </c>
      <c r="HU39" s="37" t="s">
        <v>56</v>
      </c>
      <c r="HV39" s="30">
        <f>2970000/1000</f>
        <v>2970</v>
      </c>
      <c r="HW39" s="31">
        <v>0</v>
      </c>
      <c r="HX39" s="31">
        <v>0</v>
      </c>
      <c r="HY39" s="31">
        <v>0</v>
      </c>
      <c r="HZ39" s="31">
        <v>0</v>
      </c>
      <c r="IA39" s="31" t="s">
        <v>56</v>
      </c>
      <c r="IB39" s="31">
        <v>0</v>
      </c>
      <c r="IC39" s="31">
        <v>0</v>
      </c>
      <c r="ID39" s="31" t="s">
        <v>56</v>
      </c>
      <c r="IE39" s="31">
        <f>30000/1000</f>
        <v>30</v>
      </c>
      <c r="IF39" s="31">
        <v>0</v>
      </c>
      <c r="IG39" s="31">
        <v>0</v>
      </c>
      <c r="IH39" s="31">
        <v>0</v>
      </c>
      <c r="II39" s="31">
        <v>0</v>
      </c>
      <c r="IJ39" s="31" t="s">
        <v>56</v>
      </c>
      <c r="IK39" s="31">
        <v>0</v>
      </c>
      <c r="IL39" s="31">
        <v>0</v>
      </c>
      <c r="IM39" s="31" t="s">
        <v>56</v>
      </c>
      <c r="IN39" s="31">
        <v>0</v>
      </c>
      <c r="IO39" s="31">
        <v>0</v>
      </c>
      <c r="IP39" s="31" t="s">
        <v>56</v>
      </c>
      <c r="IQ39" s="31">
        <v>0</v>
      </c>
      <c r="IR39" s="31">
        <v>0</v>
      </c>
      <c r="IS39" s="31" t="s">
        <v>56</v>
      </c>
      <c r="IT39" s="11">
        <f t="shared" si="65"/>
        <v>548470.12987999991</v>
      </c>
      <c r="IU39" s="10">
        <f>C39+O39+EE39+HH39</f>
        <v>146927.48939</v>
      </c>
      <c r="IV39" s="10">
        <f t="shared" si="67"/>
        <v>26.788603678772144</v>
      </c>
      <c r="IW39" s="16"/>
      <c r="IX39" s="16"/>
      <c r="IZ39" s="18"/>
    </row>
    <row r="40" spans="1:260" x14ac:dyDescent="0.2">
      <c r="A40" s="13" t="s">
        <v>11</v>
      </c>
      <c r="B40" s="23">
        <f t="shared" si="47"/>
        <v>78458</v>
      </c>
      <c r="C40" s="23">
        <f t="shared" si="48"/>
        <v>26338.5</v>
      </c>
      <c r="D40" s="24">
        <f t="shared" si="49"/>
        <v>33.57019042035229</v>
      </c>
      <c r="E40" s="30">
        <v>78458</v>
      </c>
      <c r="F40" s="31">
        <v>26338.5</v>
      </c>
      <c r="G40" s="31">
        <f t="shared" si="50"/>
        <v>33.57019042035229</v>
      </c>
      <c r="H40" s="30">
        <v>0</v>
      </c>
      <c r="I40" s="30">
        <v>0</v>
      </c>
      <c r="J40" s="31" t="s">
        <v>56</v>
      </c>
      <c r="K40" s="31">
        <v>0</v>
      </c>
      <c r="L40" s="31">
        <v>0</v>
      </c>
      <c r="M40" s="31" t="s">
        <v>56</v>
      </c>
      <c r="N40" s="23">
        <f t="shared" si="51"/>
        <v>25147.367429999998</v>
      </c>
      <c r="O40" s="23">
        <f t="shared" si="52"/>
        <v>0</v>
      </c>
      <c r="P40" s="24">
        <f t="shared" si="53"/>
        <v>0</v>
      </c>
      <c r="Q40" s="31">
        <f>4063535/1000</f>
        <v>4063.5349999999999</v>
      </c>
      <c r="R40" s="31">
        <v>0</v>
      </c>
      <c r="S40" s="31">
        <f>R40/Q40%</f>
        <v>0</v>
      </c>
      <c r="T40" s="30">
        <v>0</v>
      </c>
      <c r="U40" s="31">
        <v>0</v>
      </c>
      <c r="V40" s="31" t="s">
        <v>56</v>
      </c>
      <c r="W40" s="30">
        <v>0</v>
      </c>
      <c r="X40" s="31">
        <v>0</v>
      </c>
      <c r="Y40" s="31" t="s">
        <v>56</v>
      </c>
      <c r="Z40" s="30">
        <v>0</v>
      </c>
      <c r="AA40" s="31">
        <v>0</v>
      </c>
      <c r="AB40" s="31" t="s">
        <v>56</v>
      </c>
      <c r="AC40" s="30">
        <v>0</v>
      </c>
      <c r="AD40" s="31">
        <v>0</v>
      </c>
      <c r="AE40" s="31" t="s">
        <v>56</v>
      </c>
      <c r="AF40" s="30">
        <v>0</v>
      </c>
      <c r="AG40" s="31">
        <v>0</v>
      </c>
      <c r="AH40" s="31" t="s">
        <v>56</v>
      </c>
      <c r="AI40" s="31">
        <v>0</v>
      </c>
      <c r="AJ40" s="31">
        <v>0</v>
      </c>
      <c r="AK40" s="31" t="s">
        <v>56</v>
      </c>
      <c r="AL40" s="31">
        <f>2660900/1000</f>
        <v>2660.9</v>
      </c>
      <c r="AM40" s="31">
        <v>0</v>
      </c>
      <c r="AN40" s="31">
        <v>0</v>
      </c>
      <c r="AO40" s="31">
        <v>0</v>
      </c>
      <c r="AP40" s="31">
        <v>0</v>
      </c>
      <c r="AQ40" s="31" t="s">
        <v>56</v>
      </c>
      <c r="AR40" s="31">
        <v>0</v>
      </c>
      <c r="AS40" s="31">
        <v>0</v>
      </c>
      <c r="AT40" s="31" t="s">
        <v>56</v>
      </c>
      <c r="AU40" s="31">
        <v>0</v>
      </c>
      <c r="AV40" s="31">
        <v>0</v>
      </c>
      <c r="AW40" s="31" t="s">
        <v>56</v>
      </c>
      <c r="AX40" s="31">
        <v>0</v>
      </c>
      <c r="AY40" s="31">
        <v>0</v>
      </c>
      <c r="AZ40" s="31" t="s">
        <v>56</v>
      </c>
      <c r="BA40" s="31">
        <v>0</v>
      </c>
      <c r="BB40" s="31">
        <v>0</v>
      </c>
      <c r="BC40" s="31" t="s">
        <v>56</v>
      </c>
      <c r="BD40" s="31">
        <v>0</v>
      </c>
      <c r="BE40" s="31">
        <v>0</v>
      </c>
      <c r="BF40" s="31" t="s">
        <v>56</v>
      </c>
      <c r="BG40" s="30">
        <v>0</v>
      </c>
      <c r="BH40" s="31">
        <v>0</v>
      </c>
      <c r="BI40" s="31" t="s">
        <v>56</v>
      </c>
      <c r="BJ40" s="30">
        <v>0</v>
      </c>
      <c r="BK40" s="31">
        <v>0</v>
      </c>
      <c r="BL40" s="31" t="s">
        <v>56</v>
      </c>
      <c r="BM40" s="30">
        <v>0</v>
      </c>
      <c r="BN40" s="31">
        <v>0</v>
      </c>
      <c r="BO40" s="31" t="s">
        <v>56</v>
      </c>
      <c r="BP40" s="30">
        <v>0</v>
      </c>
      <c r="BQ40" s="31">
        <v>0</v>
      </c>
      <c r="BR40" s="31" t="s">
        <v>56</v>
      </c>
      <c r="BS40" s="31">
        <v>0</v>
      </c>
      <c r="BT40" s="31">
        <v>0</v>
      </c>
      <c r="BU40" s="31" t="s">
        <v>56</v>
      </c>
      <c r="BV40" s="31">
        <v>0</v>
      </c>
      <c r="BW40" s="31">
        <v>0</v>
      </c>
      <c r="BX40" s="31" t="s">
        <v>56</v>
      </c>
      <c r="BY40" s="31">
        <v>0</v>
      </c>
      <c r="BZ40" s="31">
        <v>0</v>
      </c>
      <c r="CA40" s="31" t="s">
        <v>56</v>
      </c>
      <c r="CB40" s="33">
        <v>0</v>
      </c>
      <c r="CC40" s="33">
        <v>0</v>
      </c>
      <c r="CD40" s="33" t="s">
        <v>56</v>
      </c>
      <c r="CE40" s="33">
        <v>0</v>
      </c>
      <c r="CF40" s="33">
        <v>0</v>
      </c>
      <c r="CG40" s="33" t="s">
        <v>56</v>
      </c>
      <c r="CH40" s="33">
        <v>0</v>
      </c>
      <c r="CI40" s="33">
        <v>0</v>
      </c>
      <c r="CJ40" s="31" t="s">
        <v>56</v>
      </c>
      <c r="CK40" s="33">
        <v>0</v>
      </c>
      <c r="CL40" s="33">
        <v>0</v>
      </c>
      <c r="CM40" s="33" t="s">
        <v>56</v>
      </c>
      <c r="CN40" s="33">
        <f>2393100/1000</f>
        <v>2393.1</v>
      </c>
      <c r="CO40" s="33">
        <v>0</v>
      </c>
      <c r="CP40" s="33">
        <v>0</v>
      </c>
      <c r="CQ40" s="33">
        <v>0</v>
      </c>
      <c r="CR40" s="31">
        <v>0</v>
      </c>
      <c r="CS40" s="33" t="s">
        <v>56</v>
      </c>
      <c r="CT40" s="33">
        <f>72740.43/1000</f>
        <v>72.740429999999989</v>
      </c>
      <c r="CU40" s="33">
        <v>0</v>
      </c>
      <c r="CV40" s="33">
        <v>0</v>
      </c>
      <c r="CW40" s="33">
        <f>7565792/1000</f>
        <v>7565.7920000000004</v>
      </c>
      <c r="CX40" s="33">
        <v>0</v>
      </c>
      <c r="CY40" s="33">
        <v>0</v>
      </c>
      <c r="CZ40" s="33">
        <v>0</v>
      </c>
      <c r="DA40" s="31">
        <v>0</v>
      </c>
      <c r="DB40" s="33" t="s">
        <v>56</v>
      </c>
      <c r="DC40" s="33">
        <v>0</v>
      </c>
      <c r="DD40" s="33">
        <v>0</v>
      </c>
      <c r="DE40" s="33" t="s">
        <v>56</v>
      </c>
      <c r="DF40" s="33">
        <v>0</v>
      </c>
      <c r="DG40" s="33">
        <v>0</v>
      </c>
      <c r="DH40" s="33" t="s">
        <v>56</v>
      </c>
      <c r="DI40" s="33">
        <f>7191300/1000</f>
        <v>7191.3</v>
      </c>
      <c r="DJ40" s="33">
        <v>0</v>
      </c>
      <c r="DK40" s="33">
        <v>0</v>
      </c>
      <c r="DL40" s="33">
        <v>0</v>
      </c>
      <c r="DM40" s="33">
        <v>0</v>
      </c>
      <c r="DN40" s="33" t="s">
        <v>56</v>
      </c>
      <c r="DO40" s="33">
        <v>0</v>
      </c>
      <c r="DP40" s="33">
        <v>0</v>
      </c>
      <c r="DQ40" s="33" t="s">
        <v>56</v>
      </c>
      <c r="DR40" s="33">
        <v>0</v>
      </c>
      <c r="DS40" s="33">
        <v>0</v>
      </c>
      <c r="DT40" s="33" t="s">
        <v>56</v>
      </c>
      <c r="DU40" s="33">
        <v>0</v>
      </c>
      <c r="DV40" s="33">
        <v>0</v>
      </c>
      <c r="DW40" s="33" t="s">
        <v>56</v>
      </c>
      <c r="DX40" s="33">
        <v>1200</v>
      </c>
      <c r="DY40" s="33">
        <v>0</v>
      </c>
      <c r="DZ40" s="33">
        <v>0</v>
      </c>
      <c r="EA40" s="33">
        <v>0</v>
      </c>
      <c r="EB40" s="33">
        <v>0</v>
      </c>
      <c r="EC40" s="33" t="s">
        <v>56</v>
      </c>
      <c r="ED40" s="23">
        <f t="shared" si="55"/>
        <v>166668.11300000001</v>
      </c>
      <c r="EE40" s="23">
        <f t="shared" si="56"/>
        <v>53314.969799999999</v>
      </c>
      <c r="EF40" s="24">
        <f t="shared" si="57"/>
        <v>31.988704282024237</v>
      </c>
      <c r="EG40" s="31">
        <f>1359200/1000</f>
        <v>1359.2</v>
      </c>
      <c r="EH40" s="31">
        <v>400</v>
      </c>
      <c r="EI40" s="31">
        <f t="shared" si="26"/>
        <v>29.429075927015891</v>
      </c>
      <c r="EJ40" s="31">
        <v>0</v>
      </c>
      <c r="EK40" s="31">
        <v>0</v>
      </c>
      <c r="EL40" s="31" t="s">
        <v>56</v>
      </c>
      <c r="EM40" s="34">
        <f>323/1000</f>
        <v>0.32300000000000001</v>
      </c>
      <c r="EN40" s="34">
        <v>0</v>
      </c>
      <c r="EO40" s="31">
        <f t="shared" si="115"/>
        <v>0</v>
      </c>
      <c r="EP40" s="34">
        <v>56502.9</v>
      </c>
      <c r="EQ40" s="31">
        <v>16675.504000000001</v>
      </c>
      <c r="ER40" s="31">
        <f t="shared" si="58"/>
        <v>29.512651563017123</v>
      </c>
      <c r="ES40" s="31">
        <v>91039.2</v>
      </c>
      <c r="ET40" s="31">
        <f>32527.12985+165.5</f>
        <v>32692.629850000001</v>
      </c>
      <c r="EU40" s="36">
        <f t="shared" si="59"/>
        <v>35.910497730647897</v>
      </c>
      <c r="EV40" s="34">
        <f>4970700/1000</f>
        <v>4970.7</v>
      </c>
      <c r="EW40" s="33">
        <v>1217.7</v>
      </c>
      <c r="EX40" s="33">
        <f t="shared" si="60"/>
        <v>24.497555676262902</v>
      </c>
      <c r="EY40" s="34">
        <f>1008300/1000</f>
        <v>1008.3</v>
      </c>
      <c r="EZ40" s="31">
        <v>0</v>
      </c>
      <c r="FA40" s="31">
        <f t="shared" ref="FA40:FA42" si="134">EZ40/EY40%</f>
        <v>0</v>
      </c>
      <c r="FB40" s="31">
        <v>0</v>
      </c>
      <c r="FC40" s="31">
        <v>0</v>
      </c>
      <c r="FD40" s="31" t="s">
        <v>56</v>
      </c>
      <c r="FE40" s="34">
        <v>0</v>
      </c>
      <c r="FF40" s="34">
        <v>0</v>
      </c>
      <c r="FG40" s="31" t="s">
        <v>56</v>
      </c>
      <c r="FH40" s="34">
        <f>499190/1000</f>
        <v>499.19</v>
      </c>
      <c r="FI40" s="31">
        <v>0</v>
      </c>
      <c r="FJ40" s="31">
        <f t="shared" si="116"/>
        <v>0</v>
      </c>
      <c r="FK40" s="34">
        <v>0</v>
      </c>
      <c r="FL40" s="34">
        <v>0</v>
      </c>
      <c r="FM40" s="31" t="s">
        <v>56</v>
      </c>
      <c r="FN40" s="34">
        <f>1900/1000</f>
        <v>1.9</v>
      </c>
      <c r="FO40" s="31">
        <v>0</v>
      </c>
      <c r="FP40" s="31">
        <f t="shared" si="118"/>
        <v>0</v>
      </c>
      <c r="FQ40" s="34">
        <f>63600/1000</f>
        <v>63.6</v>
      </c>
      <c r="FR40" s="31">
        <v>15.9</v>
      </c>
      <c r="FS40" s="31">
        <f t="shared" si="119"/>
        <v>25</v>
      </c>
      <c r="FT40" s="34">
        <f>1500/1000</f>
        <v>1.5</v>
      </c>
      <c r="FU40" s="31">
        <v>0</v>
      </c>
      <c r="FV40" s="31">
        <f t="shared" si="121"/>
        <v>0</v>
      </c>
      <c r="FW40" s="34">
        <f>545200/1000</f>
        <v>545.20000000000005</v>
      </c>
      <c r="FX40" s="31">
        <f>98645/1000</f>
        <v>98.644999999999996</v>
      </c>
      <c r="FY40" s="31">
        <f t="shared" si="122"/>
        <v>18.093360234776224</v>
      </c>
      <c r="FZ40" s="34">
        <f>221600/1000</f>
        <v>221.6</v>
      </c>
      <c r="GA40" s="31">
        <f>66480/1000</f>
        <v>66.48</v>
      </c>
      <c r="GB40" s="31">
        <f t="shared" si="123"/>
        <v>30.000000000000004</v>
      </c>
      <c r="GC40" s="34">
        <v>0</v>
      </c>
      <c r="GD40" s="34">
        <v>0</v>
      </c>
      <c r="GE40" s="31" t="s">
        <v>56</v>
      </c>
      <c r="GF40" s="35">
        <v>0</v>
      </c>
      <c r="GG40" s="31">
        <v>0</v>
      </c>
      <c r="GH40" s="31" t="s">
        <v>56</v>
      </c>
      <c r="GI40" s="35">
        <v>0</v>
      </c>
      <c r="GJ40" s="31">
        <v>0</v>
      </c>
      <c r="GK40" s="31" t="s">
        <v>56</v>
      </c>
      <c r="GL40" s="34">
        <v>0</v>
      </c>
      <c r="GM40" s="31">
        <v>0</v>
      </c>
      <c r="GN40" s="31" t="s">
        <v>56</v>
      </c>
      <c r="GO40" s="34">
        <v>0</v>
      </c>
      <c r="GP40" s="31">
        <v>0</v>
      </c>
      <c r="GQ40" s="31" t="s">
        <v>56</v>
      </c>
      <c r="GR40" s="34">
        <f>1119800/1000</f>
        <v>1119.8</v>
      </c>
      <c r="GS40" s="31">
        <v>220</v>
      </c>
      <c r="GT40" s="31">
        <f>GS40/GR40%</f>
        <v>19.646365422396855</v>
      </c>
      <c r="GU40" s="34">
        <f>949200/1000</f>
        <v>949.2</v>
      </c>
      <c r="GV40" s="31">
        <v>0</v>
      </c>
      <c r="GW40" s="31">
        <f t="shared" si="127"/>
        <v>0</v>
      </c>
      <c r="GX40" s="31">
        <f>290800/1000</f>
        <v>290.8</v>
      </c>
      <c r="GY40" s="31">
        <v>0</v>
      </c>
      <c r="GZ40" s="31">
        <v>0</v>
      </c>
      <c r="HA40" s="31">
        <f>(479400+7615300)/1000</f>
        <v>8094.7</v>
      </c>
      <c r="HB40" s="31">
        <f>1928110.95/1000</f>
        <v>1928.11095</v>
      </c>
      <c r="HC40" s="36">
        <f t="shared" si="61"/>
        <v>23.819424438212657</v>
      </c>
      <c r="HD40" s="31">
        <v>0</v>
      </c>
      <c r="HE40" s="31">
        <v>0</v>
      </c>
      <c r="HF40" s="31" t="s">
        <v>56</v>
      </c>
      <c r="HG40" s="28">
        <f t="shared" si="63"/>
        <v>24329.508169999997</v>
      </c>
      <c r="HH40" s="28">
        <f t="shared" si="64"/>
        <v>0</v>
      </c>
      <c r="HI40" s="26">
        <f t="shared" si="46"/>
        <v>0</v>
      </c>
      <c r="HJ40" s="37">
        <v>0</v>
      </c>
      <c r="HK40" s="37">
        <v>0</v>
      </c>
      <c r="HL40" s="37" t="s">
        <v>56</v>
      </c>
      <c r="HM40" s="33">
        <v>0</v>
      </c>
      <c r="HN40" s="33">
        <v>0</v>
      </c>
      <c r="HO40" s="33" t="s">
        <v>56</v>
      </c>
      <c r="HP40" s="33">
        <f>20309100/1000</f>
        <v>20309.099999999999</v>
      </c>
      <c r="HQ40" s="37">
        <v>0</v>
      </c>
      <c r="HR40" s="37">
        <v>0</v>
      </c>
      <c r="HS40" s="37">
        <v>0</v>
      </c>
      <c r="HT40" s="37">
        <v>0</v>
      </c>
      <c r="HU40" s="37" t="s">
        <v>56</v>
      </c>
      <c r="HV40" s="30">
        <f>2970000/1000</f>
        <v>2970</v>
      </c>
      <c r="HW40" s="31">
        <v>0</v>
      </c>
      <c r="HX40" s="31">
        <v>0</v>
      </c>
      <c r="HY40" s="31">
        <v>0</v>
      </c>
      <c r="HZ40" s="31">
        <v>0</v>
      </c>
      <c r="IA40" s="31" t="s">
        <v>56</v>
      </c>
      <c r="IB40" s="31">
        <v>0</v>
      </c>
      <c r="IC40" s="31">
        <v>0</v>
      </c>
      <c r="ID40" s="31" t="s">
        <v>56</v>
      </c>
      <c r="IE40" s="31">
        <f>30000/1000</f>
        <v>30</v>
      </c>
      <c r="IF40" s="31">
        <v>0</v>
      </c>
      <c r="IG40" s="31">
        <v>0</v>
      </c>
      <c r="IH40" s="31">
        <v>0</v>
      </c>
      <c r="II40" s="31">
        <v>0</v>
      </c>
      <c r="IJ40" s="31" t="s">
        <v>56</v>
      </c>
      <c r="IK40" s="31">
        <v>0</v>
      </c>
      <c r="IL40" s="31">
        <v>0</v>
      </c>
      <c r="IM40" s="31" t="s">
        <v>56</v>
      </c>
      <c r="IN40" s="31">
        <f>1020408.17/1000</f>
        <v>1020.40817</v>
      </c>
      <c r="IO40" s="31">
        <v>0</v>
      </c>
      <c r="IP40" s="31">
        <v>0</v>
      </c>
      <c r="IQ40" s="31">
        <v>0</v>
      </c>
      <c r="IR40" s="31">
        <v>0</v>
      </c>
      <c r="IS40" s="31" t="s">
        <v>56</v>
      </c>
      <c r="IT40" s="11">
        <f t="shared" si="65"/>
        <v>294602.98859999998</v>
      </c>
      <c r="IU40" s="10">
        <f>C40+O40+EE40+HH40</f>
        <v>79653.469799999992</v>
      </c>
      <c r="IV40" s="10">
        <f t="shared" si="67"/>
        <v>27.037563392865049</v>
      </c>
      <c r="IW40" s="16"/>
      <c r="IX40" s="16"/>
      <c r="IZ40" s="18"/>
    </row>
    <row r="41" spans="1:260" x14ac:dyDescent="0.2">
      <c r="A41" s="13" t="s">
        <v>12</v>
      </c>
      <c r="B41" s="23">
        <f t="shared" si="47"/>
        <v>417896.1</v>
      </c>
      <c r="C41" s="23">
        <f t="shared" si="48"/>
        <v>117649.4</v>
      </c>
      <c r="D41" s="24">
        <f t="shared" si="49"/>
        <v>28.152787259799744</v>
      </c>
      <c r="E41" s="30">
        <v>417896.1</v>
      </c>
      <c r="F41" s="31">
        <v>117649.4</v>
      </c>
      <c r="G41" s="31">
        <f t="shared" si="50"/>
        <v>28.152787259799744</v>
      </c>
      <c r="H41" s="30">
        <v>0</v>
      </c>
      <c r="I41" s="30">
        <v>0</v>
      </c>
      <c r="J41" s="31" t="s">
        <v>56</v>
      </c>
      <c r="K41" s="31">
        <v>0</v>
      </c>
      <c r="L41" s="31">
        <v>0</v>
      </c>
      <c r="M41" s="31" t="s">
        <v>56</v>
      </c>
      <c r="N41" s="23">
        <f t="shared" si="51"/>
        <v>828968.85969000007</v>
      </c>
      <c r="O41" s="23">
        <f t="shared" si="52"/>
        <v>0</v>
      </c>
      <c r="P41" s="24">
        <f t="shared" si="53"/>
        <v>0</v>
      </c>
      <c r="Q41" s="31">
        <v>0</v>
      </c>
      <c r="R41" s="31">
        <v>0</v>
      </c>
      <c r="S41" s="31" t="s">
        <v>56</v>
      </c>
      <c r="T41" s="31">
        <v>0</v>
      </c>
      <c r="U41" s="31">
        <v>0</v>
      </c>
      <c r="V41" s="31" t="s">
        <v>56</v>
      </c>
      <c r="W41" s="30">
        <f>12553369.56/1000</f>
        <v>12553.369560000001</v>
      </c>
      <c r="X41" s="31">
        <v>0</v>
      </c>
      <c r="Y41" s="31">
        <v>0</v>
      </c>
      <c r="Z41" s="30">
        <f>2040428.58/1000</f>
        <v>2040.42858</v>
      </c>
      <c r="AA41" s="31">
        <v>0</v>
      </c>
      <c r="AB41" s="31">
        <f t="shared" ref="AB41" si="135">AA41/Z41%</f>
        <v>0</v>
      </c>
      <c r="AC41" s="30">
        <v>0</v>
      </c>
      <c r="AD41" s="31">
        <v>0</v>
      </c>
      <c r="AE41" s="31" t="s">
        <v>56</v>
      </c>
      <c r="AF41" s="30">
        <v>0</v>
      </c>
      <c r="AG41" s="31">
        <v>0</v>
      </c>
      <c r="AH41" s="31" t="s">
        <v>56</v>
      </c>
      <c r="AI41" s="31">
        <v>0</v>
      </c>
      <c r="AJ41" s="31">
        <v>0</v>
      </c>
      <c r="AK41" s="31" t="s">
        <v>56</v>
      </c>
      <c r="AL41" s="31">
        <f>1818700/1000</f>
        <v>1818.7</v>
      </c>
      <c r="AM41" s="31">
        <v>0</v>
      </c>
      <c r="AN41" s="31">
        <v>0</v>
      </c>
      <c r="AO41" s="31">
        <v>0</v>
      </c>
      <c r="AP41" s="31">
        <v>0</v>
      </c>
      <c r="AQ41" s="31" t="s">
        <v>56</v>
      </c>
      <c r="AR41" s="31">
        <v>0</v>
      </c>
      <c r="AS41" s="31">
        <v>0</v>
      </c>
      <c r="AT41" s="31" t="s">
        <v>56</v>
      </c>
      <c r="AU41" s="31">
        <v>0</v>
      </c>
      <c r="AV41" s="31">
        <v>0</v>
      </c>
      <c r="AW41" s="31" t="s">
        <v>56</v>
      </c>
      <c r="AX41" s="31">
        <f>(18500000+61500000)/1000</f>
        <v>80000</v>
      </c>
      <c r="AY41" s="31">
        <v>0</v>
      </c>
      <c r="AZ41" s="31">
        <v>0</v>
      </c>
      <c r="BA41" s="31">
        <v>0</v>
      </c>
      <c r="BB41" s="31">
        <v>0</v>
      </c>
      <c r="BC41" s="31" t="s">
        <v>56</v>
      </c>
      <c r="BD41" s="31">
        <f>44735.19/1000</f>
        <v>44.735190000000003</v>
      </c>
      <c r="BE41" s="31">
        <v>0</v>
      </c>
      <c r="BF41" s="31">
        <v>0</v>
      </c>
      <c r="BG41" s="31">
        <v>0</v>
      </c>
      <c r="BH41" s="31">
        <v>0</v>
      </c>
      <c r="BI41" s="31" t="s">
        <v>56</v>
      </c>
      <c r="BJ41" s="30">
        <v>0</v>
      </c>
      <c r="BK41" s="31">
        <v>0</v>
      </c>
      <c r="BL41" s="31" t="s">
        <v>56</v>
      </c>
      <c r="BM41" s="30">
        <v>0</v>
      </c>
      <c r="BN41" s="31">
        <v>0</v>
      </c>
      <c r="BO41" s="31" t="s">
        <v>56</v>
      </c>
      <c r="BP41" s="30">
        <f>108786400/1000</f>
        <v>108786.4</v>
      </c>
      <c r="BQ41" s="31">
        <v>0</v>
      </c>
      <c r="BR41" s="31">
        <v>0</v>
      </c>
      <c r="BS41" s="31">
        <v>0</v>
      </c>
      <c r="BT41" s="31">
        <v>0</v>
      </c>
      <c r="BU41" s="31" t="s">
        <v>56</v>
      </c>
      <c r="BV41" s="31">
        <v>0</v>
      </c>
      <c r="BW41" s="31">
        <v>0</v>
      </c>
      <c r="BX41" s="31" t="s">
        <v>56</v>
      </c>
      <c r="BY41" s="31">
        <v>0</v>
      </c>
      <c r="BZ41" s="31">
        <v>0</v>
      </c>
      <c r="CA41" s="31" t="s">
        <v>56</v>
      </c>
      <c r="CB41" s="33">
        <v>0</v>
      </c>
      <c r="CC41" s="33">
        <v>0</v>
      </c>
      <c r="CD41" s="33" t="s">
        <v>56</v>
      </c>
      <c r="CE41" s="33">
        <v>0</v>
      </c>
      <c r="CF41" s="33">
        <v>0</v>
      </c>
      <c r="CG41" s="33" t="s">
        <v>56</v>
      </c>
      <c r="CH41" s="33">
        <v>0</v>
      </c>
      <c r="CI41" s="33">
        <v>0</v>
      </c>
      <c r="CJ41" s="31" t="s">
        <v>56</v>
      </c>
      <c r="CK41" s="33">
        <v>0</v>
      </c>
      <c r="CL41" s="33">
        <v>0</v>
      </c>
      <c r="CM41" s="33" t="s">
        <v>56</v>
      </c>
      <c r="CN41" s="33">
        <f>46116796.14/1000</f>
        <v>46116.796139999999</v>
      </c>
      <c r="CO41" s="33">
        <v>0</v>
      </c>
      <c r="CP41" s="33">
        <v>0</v>
      </c>
      <c r="CQ41" s="33">
        <v>0</v>
      </c>
      <c r="CR41" s="33">
        <v>0</v>
      </c>
      <c r="CS41" s="33" t="s">
        <v>56</v>
      </c>
      <c r="CT41" s="33">
        <f>105200/1000</f>
        <v>105.2</v>
      </c>
      <c r="CU41" s="33">
        <v>0</v>
      </c>
      <c r="CV41" s="33">
        <v>0</v>
      </c>
      <c r="CW41" s="33">
        <f>48000000/1000</f>
        <v>48000</v>
      </c>
      <c r="CX41" s="33">
        <v>0</v>
      </c>
      <c r="CY41" s="33">
        <v>0</v>
      </c>
      <c r="CZ41" s="33">
        <v>0</v>
      </c>
      <c r="DA41" s="33">
        <v>0</v>
      </c>
      <c r="DB41" s="33" t="s">
        <v>56</v>
      </c>
      <c r="DC41" s="33">
        <f>375324220.22/1000</f>
        <v>375324.22022000002</v>
      </c>
      <c r="DD41" s="33">
        <v>0</v>
      </c>
      <c r="DE41" s="33">
        <v>0</v>
      </c>
      <c r="DF41" s="33">
        <f>13264900/1000</f>
        <v>13264.9</v>
      </c>
      <c r="DG41" s="33">
        <v>0</v>
      </c>
      <c r="DH41" s="33">
        <v>0</v>
      </c>
      <c r="DI41" s="33">
        <f>66427000/1000</f>
        <v>66427</v>
      </c>
      <c r="DJ41" s="33">
        <v>0</v>
      </c>
      <c r="DK41" s="33">
        <v>0</v>
      </c>
      <c r="DL41" s="33">
        <v>0</v>
      </c>
      <c r="DM41" s="33">
        <v>0</v>
      </c>
      <c r="DN41" s="33" t="s">
        <v>56</v>
      </c>
      <c r="DO41" s="33">
        <v>0</v>
      </c>
      <c r="DP41" s="33">
        <v>0</v>
      </c>
      <c r="DQ41" s="33" t="s">
        <v>56</v>
      </c>
      <c r="DR41" s="33">
        <v>0</v>
      </c>
      <c r="DS41" s="33">
        <v>0</v>
      </c>
      <c r="DT41" s="33" t="s">
        <v>56</v>
      </c>
      <c r="DU41" s="33">
        <f>10550100/1000</f>
        <v>10550.1</v>
      </c>
      <c r="DV41" s="33">
        <v>0</v>
      </c>
      <c r="DW41" s="33">
        <v>0</v>
      </c>
      <c r="DX41" s="33">
        <f>(27500000+27500000)/1000</f>
        <v>55000</v>
      </c>
      <c r="DY41" s="33">
        <v>0</v>
      </c>
      <c r="DZ41" s="33">
        <f>DY41/DX41%</f>
        <v>0</v>
      </c>
      <c r="EA41" s="33">
        <f>8937010/1000</f>
        <v>8937.01</v>
      </c>
      <c r="EB41" s="33">
        <v>0</v>
      </c>
      <c r="EC41" s="33">
        <v>0</v>
      </c>
      <c r="ED41" s="23">
        <f t="shared" si="55"/>
        <v>3103298.1510000005</v>
      </c>
      <c r="EE41" s="23">
        <f t="shared" si="56"/>
        <v>756266.12676000001</v>
      </c>
      <c r="EF41" s="24">
        <f t="shared" si="57"/>
        <v>24.369754047522065</v>
      </c>
      <c r="EG41" s="31">
        <f>25622200/1000</f>
        <v>25622.2</v>
      </c>
      <c r="EH41" s="31">
        <v>6053.92</v>
      </c>
      <c r="EI41" s="31">
        <f t="shared" si="26"/>
        <v>23.627635409917964</v>
      </c>
      <c r="EJ41" s="31">
        <f>114100/1000</f>
        <v>114.1</v>
      </c>
      <c r="EK41" s="31">
        <v>0</v>
      </c>
      <c r="EL41" s="31">
        <v>0</v>
      </c>
      <c r="EM41" s="34">
        <f>39321/1000</f>
        <v>39.320999999999998</v>
      </c>
      <c r="EN41" s="34">
        <v>0</v>
      </c>
      <c r="EO41" s="31">
        <f t="shared" si="115"/>
        <v>0</v>
      </c>
      <c r="EP41" s="34">
        <v>1210307.1000000001</v>
      </c>
      <c r="EQ41" s="31">
        <v>277662.299</v>
      </c>
      <c r="ER41" s="31">
        <f t="shared" si="58"/>
        <v>22.941474853778843</v>
      </c>
      <c r="ES41" s="31">
        <v>1622268.6</v>
      </c>
      <c r="ET41" s="31">
        <v>436743.2</v>
      </c>
      <c r="EU41" s="36">
        <f t="shared" si="59"/>
        <v>26.921756360198305</v>
      </c>
      <c r="EV41" s="34">
        <f>14212800/1000</f>
        <v>14212.8</v>
      </c>
      <c r="EW41" s="33">
        <v>3343.4</v>
      </c>
      <c r="EX41" s="33">
        <f t="shared" si="60"/>
        <v>23.523865811099856</v>
      </c>
      <c r="EY41" s="34">
        <f>24119100/1000</f>
        <v>24119.1</v>
      </c>
      <c r="EZ41" s="31">
        <v>0</v>
      </c>
      <c r="FA41" s="31">
        <f t="shared" si="134"/>
        <v>0</v>
      </c>
      <c r="FB41" s="31">
        <f>6466600/1000</f>
        <v>6466.6</v>
      </c>
      <c r="FC41" s="31">
        <v>0</v>
      </c>
      <c r="FD41" s="31">
        <v>0</v>
      </c>
      <c r="FE41" s="34">
        <v>0</v>
      </c>
      <c r="FF41" s="34">
        <v>0</v>
      </c>
      <c r="FG41" s="31" t="s">
        <v>56</v>
      </c>
      <c r="FH41" s="34">
        <f>79251130/1000</f>
        <v>79251.13</v>
      </c>
      <c r="FI41" s="31">
        <f>5965636.76/1000</f>
        <v>5965.6367599999994</v>
      </c>
      <c r="FJ41" s="31">
        <f t="shared" si="116"/>
        <v>7.5275100304563471</v>
      </c>
      <c r="FK41" s="34">
        <v>0</v>
      </c>
      <c r="FL41" s="34">
        <v>0</v>
      </c>
      <c r="FM41" s="31" t="s">
        <v>56</v>
      </c>
      <c r="FN41" s="34">
        <f>280700/1000</f>
        <v>280.7</v>
      </c>
      <c r="FO41" s="31">
        <v>0</v>
      </c>
      <c r="FP41" s="31">
        <f t="shared" si="118"/>
        <v>0</v>
      </c>
      <c r="FQ41" s="34">
        <f>191000/1000</f>
        <v>191</v>
      </c>
      <c r="FR41" s="31">
        <v>42.5</v>
      </c>
      <c r="FS41" s="31">
        <f t="shared" si="119"/>
        <v>22.251308900523561</v>
      </c>
      <c r="FT41" s="34">
        <f>12500/1000</f>
        <v>12.5</v>
      </c>
      <c r="FU41" s="31">
        <v>0</v>
      </c>
      <c r="FV41" s="31">
        <f t="shared" si="121"/>
        <v>0</v>
      </c>
      <c r="FW41" s="34">
        <f>3434800/1000</f>
        <v>3434.8</v>
      </c>
      <c r="FX41" s="31">
        <f>1095414/1000</f>
        <v>1095.414</v>
      </c>
      <c r="FY41" s="31">
        <f t="shared" si="122"/>
        <v>31.891638523349251</v>
      </c>
      <c r="FZ41" s="34">
        <f>1623800/1000</f>
        <v>1623.8</v>
      </c>
      <c r="GA41" s="31">
        <v>529</v>
      </c>
      <c r="GB41" s="31">
        <f t="shared" si="123"/>
        <v>32.577903682719551</v>
      </c>
      <c r="GC41" s="34">
        <v>0</v>
      </c>
      <c r="GD41" s="34">
        <v>0</v>
      </c>
      <c r="GE41" s="31" t="s">
        <v>56</v>
      </c>
      <c r="GF41" s="35">
        <v>0</v>
      </c>
      <c r="GG41" s="31">
        <v>0</v>
      </c>
      <c r="GH41" s="31" t="s">
        <v>56</v>
      </c>
      <c r="GI41" s="35">
        <v>0</v>
      </c>
      <c r="GJ41" s="31">
        <v>0</v>
      </c>
      <c r="GK41" s="31" t="s">
        <v>56</v>
      </c>
      <c r="GL41" s="34">
        <v>476.2</v>
      </c>
      <c r="GM41" s="31">
        <v>0</v>
      </c>
      <c r="GN41" s="31">
        <f t="shared" si="126"/>
        <v>0</v>
      </c>
      <c r="GO41" s="34">
        <f>2214100/1000</f>
        <v>2214.1</v>
      </c>
      <c r="GP41" s="31">
        <f>551336/1000</f>
        <v>551.33600000000001</v>
      </c>
      <c r="GQ41" s="31">
        <v>0</v>
      </c>
      <c r="GR41" s="34">
        <f>6291400/1000</f>
        <v>6291.4</v>
      </c>
      <c r="GS41" s="31">
        <v>1050</v>
      </c>
      <c r="GT41" s="31">
        <f>GS41/GR41%</f>
        <v>16.689449089232923</v>
      </c>
      <c r="GU41" s="34">
        <f>11890600/1000</f>
        <v>11890.6</v>
      </c>
      <c r="GV41" s="31">
        <v>0</v>
      </c>
      <c r="GW41" s="31">
        <f t="shared" si="127"/>
        <v>0</v>
      </c>
      <c r="GX41" s="31">
        <f>4940000/1000</f>
        <v>4940</v>
      </c>
      <c r="GY41" s="31">
        <v>0</v>
      </c>
      <c r="GZ41" s="31">
        <v>0</v>
      </c>
      <c r="HA41" s="31">
        <f>(2157400+87384700)/1000</f>
        <v>89542.1</v>
      </c>
      <c r="HB41" s="31">
        <f>23229421/1000</f>
        <v>23229.420999999998</v>
      </c>
      <c r="HC41" s="36">
        <f t="shared" si="61"/>
        <v>25.942457235199974</v>
      </c>
      <c r="HD41" s="31">
        <v>0</v>
      </c>
      <c r="HE41" s="31">
        <v>0</v>
      </c>
      <c r="HF41" s="31" t="s">
        <v>56</v>
      </c>
      <c r="HG41" s="28">
        <f t="shared" si="63"/>
        <v>841750.56625999999</v>
      </c>
      <c r="HH41" s="28">
        <f t="shared" si="64"/>
        <v>0</v>
      </c>
      <c r="HI41" s="26">
        <f t="shared" si="46"/>
        <v>0</v>
      </c>
      <c r="HJ41" s="37">
        <v>0</v>
      </c>
      <c r="HK41" s="37">
        <v>0</v>
      </c>
      <c r="HL41" s="37" t="s">
        <v>56</v>
      </c>
      <c r="HM41" s="33">
        <v>0</v>
      </c>
      <c r="HN41" s="33">
        <v>0</v>
      </c>
      <c r="HO41" s="33" t="s">
        <v>56</v>
      </c>
      <c r="HP41" s="33">
        <f>95913700/1000</f>
        <v>95913.7</v>
      </c>
      <c r="HQ41" s="37">
        <v>0</v>
      </c>
      <c r="HR41" s="37">
        <v>0</v>
      </c>
      <c r="HS41" s="37">
        <v>0</v>
      </c>
      <c r="HT41" s="37">
        <v>0</v>
      </c>
      <c r="HU41" s="37" t="s">
        <v>56</v>
      </c>
      <c r="HV41" s="30">
        <v>0</v>
      </c>
      <c r="HW41" s="31">
        <v>0</v>
      </c>
      <c r="HX41" s="31" t="s">
        <v>56</v>
      </c>
      <c r="HY41" s="31">
        <f>4759332.2/1000</f>
        <v>4759.3321999999998</v>
      </c>
      <c r="HZ41" s="31">
        <v>0</v>
      </c>
      <c r="IA41" s="31">
        <v>0</v>
      </c>
      <c r="IB41" s="31">
        <v>0</v>
      </c>
      <c r="IC41" s="31">
        <v>0</v>
      </c>
      <c r="ID41" s="31" t="s">
        <v>56</v>
      </c>
      <c r="IE41" s="31">
        <v>0</v>
      </c>
      <c r="IF41" s="31">
        <v>0</v>
      </c>
      <c r="IG41" s="31" t="s">
        <v>56</v>
      </c>
      <c r="IH41" s="31">
        <f>48074.06/1000</f>
        <v>48.074059999999996</v>
      </c>
      <c r="II41" s="31">
        <v>0</v>
      </c>
      <c r="IJ41" s="31">
        <v>0</v>
      </c>
      <c r="IK41" s="31">
        <v>0</v>
      </c>
      <c r="IL41" s="31">
        <v>0</v>
      </c>
      <c r="IM41" s="31" t="s">
        <v>56</v>
      </c>
      <c r="IN41" s="31">
        <v>0</v>
      </c>
      <c r="IO41" s="31">
        <v>0</v>
      </c>
      <c r="IP41" s="31" t="s">
        <v>56</v>
      </c>
      <c r="IQ41" s="31">
        <f>741029460/1000</f>
        <v>741029.46</v>
      </c>
      <c r="IR41" s="31">
        <v>0</v>
      </c>
      <c r="IS41" s="31">
        <v>0</v>
      </c>
      <c r="IT41" s="11">
        <f t="shared" si="65"/>
        <v>5191913.6769500002</v>
      </c>
      <c r="IU41" s="10">
        <f>C41+O41+EE41+HH41</f>
        <v>873915.52676000004</v>
      </c>
      <c r="IV41" s="10">
        <f t="shared" si="67"/>
        <v>16.832243005884941</v>
      </c>
      <c r="IW41" s="16"/>
      <c r="IX41" s="16"/>
      <c r="IZ41" s="18"/>
    </row>
    <row r="42" spans="1:260" x14ac:dyDescent="0.2">
      <c r="A42" s="13" t="s">
        <v>29</v>
      </c>
      <c r="B42" s="23">
        <f t="shared" si="47"/>
        <v>59111</v>
      </c>
      <c r="C42" s="23">
        <f t="shared" si="48"/>
        <v>8385</v>
      </c>
      <c r="D42" s="24">
        <f t="shared" si="49"/>
        <v>14.185177039806465</v>
      </c>
      <c r="E42" s="30">
        <v>28370</v>
      </c>
      <c r="F42" s="31">
        <v>700</v>
      </c>
      <c r="G42" s="31">
        <f t="shared" si="50"/>
        <v>2.4673951357067323</v>
      </c>
      <c r="H42" s="30">
        <v>0</v>
      </c>
      <c r="I42" s="30">
        <v>0</v>
      </c>
      <c r="J42" s="31" t="s">
        <v>56</v>
      </c>
      <c r="K42" s="31">
        <v>30741</v>
      </c>
      <c r="L42" s="31">
        <v>7685</v>
      </c>
      <c r="M42" s="31">
        <f>L42/K42%</f>
        <v>24.999186753846651</v>
      </c>
      <c r="N42" s="23">
        <f t="shared" si="51"/>
        <v>8989.0159999999996</v>
      </c>
      <c r="O42" s="23">
        <f t="shared" si="52"/>
        <v>114.1</v>
      </c>
      <c r="P42" s="24">
        <f t="shared" si="53"/>
        <v>1.2693269207664108</v>
      </c>
      <c r="Q42" s="31">
        <v>0</v>
      </c>
      <c r="R42" s="31">
        <v>0</v>
      </c>
      <c r="S42" s="31" t="s">
        <v>56</v>
      </c>
      <c r="T42" s="31">
        <v>0</v>
      </c>
      <c r="U42" s="31">
        <v>0</v>
      </c>
      <c r="V42" s="31" t="s">
        <v>56</v>
      </c>
      <c r="W42" s="30">
        <v>0</v>
      </c>
      <c r="X42" s="31">
        <v>0</v>
      </c>
      <c r="Y42" s="31" t="s">
        <v>56</v>
      </c>
      <c r="Z42" s="30">
        <v>0</v>
      </c>
      <c r="AA42" s="31">
        <v>0</v>
      </c>
      <c r="AB42" s="31" t="s">
        <v>56</v>
      </c>
      <c r="AC42" s="30">
        <v>0</v>
      </c>
      <c r="AD42" s="31">
        <v>0</v>
      </c>
      <c r="AE42" s="31" t="s">
        <v>56</v>
      </c>
      <c r="AF42" s="30">
        <v>0</v>
      </c>
      <c r="AG42" s="31">
        <v>0</v>
      </c>
      <c r="AH42" s="31" t="s">
        <v>56</v>
      </c>
      <c r="AI42" s="31">
        <v>0</v>
      </c>
      <c r="AJ42" s="31">
        <v>0</v>
      </c>
      <c r="AK42" s="31" t="s">
        <v>56</v>
      </c>
      <c r="AL42" s="31">
        <v>0</v>
      </c>
      <c r="AM42" s="31">
        <v>0</v>
      </c>
      <c r="AN42" s="31" t="s">
        <v>56</v>
      </c>
      <c r="AO42" s="31">
        <v>0</v>
      </c>
      <c r="AP42" s="31">
        <v>0</v>
      </c>
      <c r="AQ42" s="31" t="s">
        <v>56</v>
      </c>
      <c r="AR42" s="31">
        <v>0</v>
      </c>
      <c r="AS42" s="31">
        <v>0</v>
      </c>
      <c r="AT42" s="31" t="s">
        <v>56</v>
      </c>
      <c r="AU42" s="31">
        <v>0</v>
      </c>
      <c r="AV42" s="31">
        <v>0</v>
      </c>
      <c r="AW42" s="31" t="s">
        <v>56</v>
      </c>
      <c r="AX42" s="31">
        <v>0</v>
      </c>
      <c r="AY42" s="31">
        <v>0</v>
      </c>
      <c r="AZ42" s="31" t="s">
        <v>56</v>
      </c>
      <c r="BA42" s="31">
        <v>0</v>
      </c>
      <c r="BB42" s="31">
        <v>0</v>
      </c>
      <c r="BC42" s="31" t="s">
        <v>56</v>
      </c>
      <c r="BD42" s="31">
        <v>0</v>
      </c>
      <c r="BE42" s="31">
        <v>0</v>
      </c>
      <c r="BF42" s="31" t="s">
        <v>56</v>
      </c>
      <c r="BG42" s="31">
        <v>0</v>
      </c>
      <c r="BH42" s="31">
        <v>0</v>
      </c>
      <c r="BI42" s="31" t="s">
        <v>56</v>
      </c>
      <c r="BJ42" s="30">
        <v>0</v>
      </c>
      <c r="BK42" s="31">
        <v>0</v>
      </c>
      <c r="BL42" s="31" t="s">
        <v>56</v>
      </c>
      <c r="BM42" s="30">
        <v>0</v>
      </c>
      <c r="BN42" s="31">
        <v>0</v>
      </c>
      <c r="BO42" s="31" t="s">
        <v>56</v>
      </c>
      <c r="BP42" s="31">
        <v>0</v>
      </c>
      <c r="BQ42" s="31">
        <v>0</v>
      </c>
      <c r="BR42" s="31" t="s">
        <v>56</v>
      </c>
      <c r="BS42" s="31">
        <v>0</v>
      </c>
      <c r="BT42" s="31">
        <v>0</v>
      </c>
      <c r="BU42" s="31" t="s">
        <v>56</v>
      </c>
      <c r="BV42" s="31">
        <v>0</v>
      </c>
      <c r="BW42" s="31">
        <v>0</v>
      </c>
      <c r="BX42" s="31" t="s">
        <v>56</v>
      </c>
      <c r="BY42" s="31">
        <v>1256.0999999999999</v>
      </c>
      <c r="BZ42" s="31">
        <v>114.1</v>
      </c>
      <c r="CA42" s="31">
        <f t="shared" ref="CA42" si="136">BZ42/BY42%</f>
        <v>9.0836716821909071</v>
      </c>
      <c r="CB42" s="33">
        <v>0</v>
      </c>
      <c r="CC42" s="33">
        <v>0</v>
      </c>
      <c r="CD42" s="33" t="s">
        <v>56</v>
      </c>
      <c r="CE42" s="33">
        <v>0</v>
      </c>
      <c r="CF42" s="33">
        <v>0</v>
      </c>
      <c r="CG42" s="33" t="s">
        <v>56</v>
      </c>
      <c r="CH42" s="33">
        <v>0</v>
      </c>
      <c r="CI42" s="33">
        <v>0</v>
      </c>
      <c r="CJ42" s="31" t="s">
        <v>56</v>
      </c>
      <c r="CK42" s="33">
        <v>0</v>
      </c>
      <c r="CL42" s="33">
        <v>0</v>
      </c>
      <c r="CM42" s="33" t="s">
        <v>56</v>
      </c>
      <c r="CN42" s="33">
        <v>0</v>
      </c>
      <c r="CO42" s="33">
        <v>0</v>
      </c>
      <c r="CP42" s="33" t="s">
        <v>56</v>
      </c>
      <c r="CQ42" s="33">
        <v>0</v>
      </c>
      <c r="CR42" s="33">
        <v>0</v>
      </c>
      <c r="CS42" s="33" t="s">
        <v>56</v>
      </c>
      <c r="CT42" s="33">
        <v>0</v>
      </c>
      <c r="CU42" s="33">
        <v>0</v>
      </c>
      <c r="CV42" s="33" t="s">
        <v>56</v>
      </c>
      <c r="CW42" s="33">
        <f>7191816/1000</f>
        <v>7191.8159999999998</v>
      </c>
      <c r="CX42" s="33">
        <v>0</v>
      </c>
      <c r="CY42" s="33">
        <v>0</v>
      </c>
      <c r="CZ42" s="33">
        <v>0</v>
      </c>
      <c r="DA42" s="33">
        <v>0</v>
      </c>
      <c r="DB42" s="33" t="s">
        <v>56</v>
      </c>
      <c r="DC42" s="33">
        <v>0</v>
      </c>
      <c r="DD42" s="33">
        <v>0</v>
      </c>
      <c r="DE42" s="33" t="s">
        <v>56</v>
      </c>
      <c r="DF42" s="33">
        <v>0</v>
      </c>
      <c r="DG42" s="33">
        <v>0</v>
      </c>
      <c r="DH42" s="33" t="s">
        <v>56</v>
      </c>
      <c r="DI42" s="33">
        <f>541100/1000</f>
        <v>541.1</v>
      </c>
      <c r="DJ42" s="33">
        <v>0</v>
      </c>
      <c r="DK42" s="33">
        <v>0</v>
      </c>
      <c r="DL42" s="33">
        <v>0</v>
      </c>
      <c r="DM42" s="33">
        <v>0</v>
      </c>
      <c r="DN42" s="33" t="s">
        <v>56</v>
      </c>
      <c r="DO42" s="33">
        <v>0</v>
      </c>
      <c r="DP42" s="33">
        <v>0</v>
      </c>
      <c r="DQ42" s="33" t="s">
        <v>56</v>
      </c>
      <c r="DR42" s="33">
        <v>0</v>
      </c>
      <c r="DS42" s="33">
        <v>0</v>
      </c>
      <c r="DT42" s="33" t="s">
        <v>56</v>
      </c>
      <c r="DU42" s="33">
        <v>0</v>
      </c>
      <c r="DV42" s="33">
        <v>0</v>
      </c>
      <c r="DW42" s="33" t="s">
        <v>56</v>
      </c>
      <c r="DX42" s="33">
        <v>0</v>
      </c>
      <c r="DY42" s="33">
        <v>0</v>
      </c>
      <c r="DZ42" s="33" t="s">
        <v>56</v>
      </c>
      <c r="EA42" s="33">
        <v>0</v>
      </c>
      <c r="EB42" s="33">
        <v>0</v>
      </c>
      <c r="EC42" s="33" t="s">
        <v>56</v>
      </c>
      <c r="ED42" s="23">
        <f t="shared" si="55"/>
        <v>100327.49999999999</v>
      </c>
      <c r="EE42" s="23">
        <f t="shared" si="56"/>
        <v>26533.376609999999</v>
      </c>
      <c r="EF42" s="24">
        <f t="shared" si="57"/>
        <v>26.446763459669587</v>
      </c>
      <c r="EG42" s="31">
        <f>755100/1000</f>
        <v>755.1</v>
      </c>
      <c r="EH42" s="31">
        <v>180.1</v>
      </c>
      <c r="EI42" s="31">
        <f t="shared" si="26"/>
        <v>23.851145543636605</v>
      </c>
      <c r="EJ42" s="31">
        <v>0</v>
      </c>
      <c r="EK42" s="31">
        <v>0</v>
      </c>
      <c r="EL42" s="31" t="s">
        <v>56</v>
      </c>
      <c r="EM42" s="34">
        <v>0</v>
      </c>
      <c r="EN42" s="34">
        <v>0</v>
      </c>
      <c r="EO42" s="31" t="s">
        <v>56</v>
      </c>
      <c r="EP42" s="34">
        <v>44436</v>
      </c>
      <c r="EQ42" s="31">
        <v>11314.165999999999</v>
      </c>
      <c r="ER42" s="31">
        <f t="shared" si="58"/>
        <v>25.461711225132774</v>
      </c>
      <c r="ES42" s="31">
        <v>50671.1</v>
      </c>
      <c r="ET42" s="31">
        <v>14096.2</v>
      </c>
      <c r="EU42" s="36">
        <f t="shared" si="59"/>
        <v>27.819013204765636</v>
      </c>
      <c r="EV42" s="34">
        <f>1105700/1000</f>
        <v>1105.7</v>
      </c>
      <c r="EW42" s="33">
        <v>294.5</v>
      </c>
      <c r="EX42" s="33">
        <f t="shared" si="60"/>
        <v>26.634711042778328</v>
      </c>
      <c r="EY42" s="34">
        <f>312900/1000</f>
        <v>312.89999999999998</v>
      </c>
      <c r="EZ42" s="31">
        <v>0</v>
      </c>
      <c r="FA42" s="31">
        <f t="shared" si="134"/>
        <v>0</v>
      </c>
      <c r="FB42" s="31">
        <v>0</v>
      </c>
      <c r="FC42" s="31">
        <v>0</v>
      </c>
      <c r="FD42" s="31" t="s">
        <v>56</v>
      </c>
      <c r="FE42" s="34">
        <v>0</v>
      </c>
      <c r="FF42" s="34">
        <v>0</v>
      </c>
      <c r="FG42" s="31" t="s">
        <v>56</v>
      </c>
      <c r="FH42" s="34">
        <f>62400/1000</f>
        <v>62.4</v>
      </c>
      <c r="FI42" s="31">
        <v>0</v>
      </c>
      <c r="FJ42" s="31">
        <f t="shared" si="116"/>
        <v>0</v>
      </c>
      <c r="FK42" s="34">
        <v>0</v>
      </c>
      <c r="FL42" s="34">
        <v>0</v>
      </c>
      <c r="FM42" s="31" t="s">
        <v>56</v>
      </c>
      <c r="FN42" s="34">
        <f>6300/1000</f>
        <v>6.3</v>
      </c>
      <c r="FO42" s="31">
        <v>0</v>
      </c>
      <c r="FP42" s="31">
        <f t="shared" si="118"/>
        <v>0</v>
      </c>
      <c r="FQ42" s="34">
        <f>31800/1000</f>
        <v>31.8</v>
      </c>
      <c r="FR42" s="31">
        <v>8.1</v>
      </c>
      <c r="FS42" s="31">
        <f t="shared" si="119"/>
        <v>25.471698113207545</v>
      </c>
      <c r="FT42" s="34">
        <v>0</v>
      </c>
      <c r="FU42" s="31">
        <v>0</v>
      </c>
      <c r="FV42" s="31" t="s">
        <v>56</v>
      </c>
      <c r="FW42" s="34">
        <f>514900/1000</f>
        <v>514.9</v>
      </c>
      <c r="FX42" s="31">
        <v>139.9</v>
      </c>
      <c r="FY42" s="31">
        <f t="shared" si="122"/>
        <v>27.170324334822297</v>
      </c>
      <c r="FZ42" s="34">
        <f>210000/1000</f>
        <v>210</v>
      </c>
      <c r="GA42" s="31">
        <v>60.1</v>
      </c>
      <c r="GB42" s="31">
        <f t="shared" si="123"/>
        <v>28.619047619047617</v>
      </c>
      <c r="GC42" s="34">
        <v>0</v>
      </c>
      <c r="GD42" s="34">
        <v>0</v>
      </c>
      <c r="GE42" s="31" t="s">
        <v>56</v>
      </c>
      <c r="GF42" s="35">
        <v>0</v>
      </c>
      <c r="GG42" s="31">
        <v>0</v>
      </c>
      <c r="GH42" s="31" t="s">
        <v>56</v>
      </c>
      <c r="GI42" s="35">
        <v>330.8</v>
      </c>
      <c r="GJ42" s="31">
        <v>1.3839000000000001</v>
      </c>
      <c r="GK42" s="31">
        <f>(GJ42/GI42)*100</f>
        <v>0.41834945586457073</v>
      </c>
      <c r="GL42" s="34">
        <v>0</v>
      </c>
      <c r="GM42" s="31">
        <v>0</v>
      </c>
      <c r="GN42" s="31" t="s">
        <v>56</v>
      </c>
      <c r="GO42" s="34">
        <f>216400/1000</f>
        <v>216.4</v>
      </c>
      <c r="GP42" s="31">
        <f>54090/1000</f>
        <v>54.09</v>
      </c>
      <c r="GQ42" s="31">
        <f>GP42/GO42%</f>
        <v>24.995378927911275</v>
      </c>
      <c r="GR42" s="34">
        <f>177700/1000</f>
        <v>177.7</v>
      </c>
      <c r="GS42" s="31">
        <v>52.7</v>
      </c>
      <c r="GT42" s="31">
        <f>GS42/GR42%</f>
        <v>29.656724817107488</v>
      </c>
      <c r="GU42" s="34">
        <v>0</v>
      </c>
      <c r="GV42" s="31">
        <v>0</v>
      </c>
      <c r="GW42" s="31" t="s">
        <v>56</v>
      </c>
      <c r="GX42" s="31">
        <f>119600/1000</f>
        <v>119.6</v>
      </c>
      <c r="GY42" s="31">
        <v>0</v>
      </c>
      <c r="GZ42" s="31">
        <v>0</v>
      </c>
      <c r="HA42" s="31">
        <f>1376800/1000</f>
        <v>1376.8</v>
      </c>
      <c r="HB42" s="31">
        <f>332136.71/1000</f>
        <v>332.13670999999999</v>
      </c>
      <c r="HC42" s="36">
        <f t="shared" si="61"/>
        <v>24.123816821615339</v>
      </c>
      <c r="HD42" s="31">
        <v>0</v>
      </c>
      <c r="HE42" s="31">
        <v>0</v>
      </c>
      <c r="HF42" s="31" t="s">
        <v>56</v>
      </c>
      <c r="HG42" s="28">
        <f t="shared" si="63"/>
        <v>5134.6000000000004</v>
      </c>
      <c r="HH42" s="28">
        <f t="shared" si="64"/>
        <v>0</v>
      </c>
      <c r="HI42" s="26">
        <f t="shared" si="46"/>
        <v>0</v>
      </c>
      <c r="HJ42" s="37">
        <v>0</v>
      </c>
      <c r="HK42" s="37">
        <v>0</v>
      </c>
      <c r="HL42" s="37" t="s">
        <v>56</v>
      </c>
      <c r="HM42" s="33">
        <v>0</v>
      </c>
      <c r="HN42" s="33">
        <v>0</v>
      </c>
      <c r="HO42" s="33" t="s">
        <v>56</v>
      </c>
      <c r="HP42" s="33">
        <f>5134600/1000</f>
        <v>5134.6000000000004</v>
      </c>
      <c r="HQ42" s="37">
        <v>0</v>
      </c>
      <c r="HR42" s="37">
        <v>0</v>
      </c>
      <c r="HS42" s="37">
        <v>0</v>
      </c>
      <c r="HT42" s="37">
        <v>0</v>
      </c>
      <c r="HU42" s="37" t="s">
        <v>56</v>
      </c>
      <c r="HV42" s="30">
        <v>0</v>
      </c>
      <c r="HW42" s="31">
        <v>0</v>
      </c>
      <c r="HX42" s="31" t="s">
        <v>56</v>
      </c>
      <c r="HY42" s="31">
        <v>0</v>
      </c>
      <c r="HZ42" s="31">
        <v>0</v>
      </c>
      <c r="IA42" s="31" t="s">
        <v>56</v>
      </c>
      <c r="IB42" s="31">
        <v>0</v>
      </c>
      <c r="IC42" s="31">
        <v>0</v>
      </c>
      <c r="ID42" s="31" t="s">
        <v>56</v>
      </c>
      <c r="IE42" s="31">
        <v>0</v>
      </c>
      <c r="IF42" s="31">
        <v>0</v>
      </c>
      <c r="IG42" s="31" t="s">
        <v>56</v>
      </c>
      <c r="IH42" s="31">
        <v>0</v>
      </c>
      <c r="II42" s="31">
        <v>0</v>
      </c>
      <c r="IJ42" s="31" t="s">
        <v>56</v>
      </c>
      <c r="IK42" s="31">
        <v>0</v>
      </c>
      <c r="IL42" s="31">
        <v>0</v>
      </c>
      <c r="IM42" s="31" t="s">
        <v>56</v>
      </c>
      <c r="IN42" s="31">
        <v>0</v>
      </c>
      <c r="IO42" s="31">
        <v>0</v>
      </c>
      <c r="IP42" s="31" t="s">
        <v>56</v>
      </c>
      <c r="IQ42" s="31">
        <v>0</v>
      </c>
      <c r="IR42" s="31">
        <v>0</v>
      </c>
      <c r="IS42" s="31" t="s">
        <v>56</v>
      </c>
      <c r="IT42" s="11">
        <f t="shared" si="65"/>
        <v>173562.11600000001</v>
      </c>
      <c r="IU42" s="10">
        <f>C42+O42+EE42+HH42</f>
        <v>35032.476609999998</v>
      </c>
      <c r="IV42" s="10">
        <f t="shared" si="67"/>
        <v>20.184402804814848</v>
      </c>
      <c r="IW42" s="16"/>
      <c r="IX42" s="16"/>
      <c r="IZ42" s="18"/>
    </row>
    <row r="43" spans="1:260" s="3" customFormat="1" x14ac:dyDescent="0.2">
      <c r="A43" s="14" t="s">
        <v>55</v>
      </c>
      <c r="B43" s="25">
        <f>E43+H43+K43</f>
        <v>150435.20000000001</v>
      </c>
      <c r="C43" s="25"/>
      <c r="D43" s="24"/>
      <c r="E43" s="24"/>
      <c r="F43" s="24"/>
      <c r="G43" s="24"/>
      <c r="H43" s="24">
        <v>150435.20000000001</v>
      </c>
      <c r="I43" s="24"/>
      <c r="J43" s="24"/>
      <c r="K43" s="24"/>
      <c r="L43" s="24"/>
      <c r="M43" s="24"/>
      <c r="N43" s="23">
        <f t="shared" si="51"/>
        <v>526169.19999999995</v>
      </c>
      <c r="O43" s="23">
        <f t="shared" si="52"/>
        <v>0</v>
      </c>
      <c r="P43" s="24"/>
      <c r="Q43" s="24"/>
      <c r="R43" s="24"/>
      <c r="S43" s="24"/>
      <c r="T43" s="24"/>
      <c r="U43" s="24"/>
      <c r="V43" s="24"/>
      <c r="W43" s="31"/>
      <c r="X43" s="24"/>
      <c r="Y43" s="24"/>
      <c r="Z43" s="31"/>
      <c r="AA43" s="24"/>
      <c r="AB43" s="24"/>
      <c r="AC43" s="31"/>
      <c r="AD43" s="24"/>
      <c r="AE43" s="24"/>
      <c r="AF43" s="24"/>
      <c r="AG43" s="24"/>
      <c r="AH43" s="24"/>
      <c r="AI43" s="31">
        <v>8914.1</v>
      </c>
      <c r="AJ43" s="24"/>
      <c r="AK43" s="24"/>
      <c r="AL43" s="24">
        <v>9000</v>
      </c>
      <c r="AM43" s="24"/>
      <c r="AN43" s="24"/>
      <c r="AO43" s="24">
        <v>133034.79999999999</v>
      </c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31"/>
      <c r="BH43" s="24"/>
      <c r="BI43" s="24"/>
      <c r="BJ43" s="31"/>
      <c r="BK43" s="24"/>
      <c r="BL43" s="24"/>
      <c r="BM43" s="31"/>
      <c r="BN43" s="24"/>
      <c r="BO43" s="24"/>
      <c r="BP43" s="31"/>
      <c r="BQ43" s="24"/>
      <c r="BR43" s="24"/>
      <c r="BS43" s="24"/>
      <c r="BT43" s="24"/>
      <c r="BU43" s="24"/>
      <c r="BV43" s="31">
        <v>68062.5</v>
      </c>
      <c r="BW43" s="24"/>
      <c r="BX43" s="24"/>
      <c r="BY43" s="24"/>
      <c r="BZ43" s="24"/>
      <c r="CA43" s="24"/>
      <c r="CB43" s="33">
        <v>17529.5</v>
      </c>
      <c r="CC43" s="33"/>
      <c r="CD43" s="33"/>
      <c r="CE43" s="33">
        <v>42384.7</v>
      </c>
      <c r="CF43" s="26"/>
      <c r="CG43" s="26"/>
      <c r="CH43" s="33"/>
      <c r="CI43" s="33"/>
      <c r="CJ43" s="33"/>
      <c r="CK43" s="33">
        <v>247243.6</v>
      </c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33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3">
        <f t="shared" si="55"/>
        <v>241099.1</v>
      </c>
      <c r="EE43" s="23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>
        <v>62494.6</v>
      </c>
      <c r="EQ43" s="24"/>
      <c r="ER43" s="24"/>
      <c r="ES43" s="31">
        <v>178604.5</v>
      </c>
      <c r="ET43" s="24"/>
      <c r="EU43" s="27"/>
      <c r="EV43" s="24"/>
      <c r="EW43" s="26"/>
      <c r="EX43" s="26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7"/>
      <c r="HD43" s="24"/>
      <c r="HE43" s="24"/>
      <c r="HF43" s="24"/>
      <c r="HG43" s="28">
        <f t="shared" si="63"/>
        <v>139527.315</v>
      </c>
      <c r="HH43" s="28"/>
      <c r="HI43" s="26"/>
      <c r="HJ43" s="33">
        <v>255</v>
      </c>
      <c r="HK43" s="33"/>
      <c r="HL43" s="33"/>
      <c r="HM43" s="33">
        <v>32222.314999999999</v>
      </c>
      <c r="HN43" s="33"/>
      <c r="HO43" s="33"/>
      <c r="HP43" s="26"/>
      <c r="HQ43" s="26"/>
      <c r="HR43" s="26"/>
      <c r="HS43" s="26">
        <f>105979500/1000</f>
        <v>105979.5</v>
      </c>
      <c r="HT43" s="26"/>
      <c r="HU43" s="26"/>
      <c r="HV43" s="24"/>
      <c r="HW43" s="24"/>
      <c r="HX43" s="24"/>
      <c r="HY43" s="24"/>
      <c r="HZ43" s="24"/>
      <c r="IA43" s="24"/>
      <c r="IB43" s="24">
        <v>1070.5</v>
      </c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11">
        <f t="shared" si="65"/>
        <v>1057230.8149999999</v>
      </c>
      <c r="IU43" s="10"/>
      <c r="IV43" s="10"/>
    </row>
    <row r="44" spans="1:260" s="3" customFormat="1" ht="23.25" customHeight="1" x14ac:dyDescent="0.2">
      <c r="A44" s="15" t="s">
        <v>52</v>
      </c>
      <c r="B44" s="40">
        <f>B38+B6+B43</f>
        <v>4671713.3</v>
      </c>
      <c r="C44" s="40">
        <f>C38+C6+C43</f>
        <v>1572220.4599999997</v>
      </c>
      <c r="D44" s="24">
        <f t="shared" si="49"/>
        <v>33.654044223989509</v>
      </c>
      <c r="E44" s="24">
        <f t="shared" ref="E44:CL44" si="137">E38+E6</f>
        <v>4490537.0999999996</v>
      </c>
      <c r="F44" s="24">
        <f t="shared" si="137"/>
        <v>1564535.4599999997</v>
      </c>
      <c r="G44" s="24">
        <f t="shared" si="50"/>
        <v>34.840720055514069</v>
      </c>
      <c r="H44" s="24">
        <f>H43</f>
        <v>150435.20000000001</v>
      </c>
      <c r="I44" s="24">
        <f t="shared" si="137"/>
        <v>0</v>
      </c>
      <c r="J44" s="24">
        <v>0</v>
      </c>
      <c r="K44" s="24">
        <f t="shared" si="137"/>
        <v>30741</v>
      </c>
      <c r="L44" s="24">
        <f t="shared" si="137"/>
        <v>7685</v>
      </c>
      <c r="M44" s="24">
        <f>L44/K44%</f>
        <v>24.999186753846651</v>
      </c>
      <c r="N44" s="23">
        <f>Q44+T44+W44+Z44+AC44+AF44+AI44+AL44+AO44+AR44+AU44+AX44+BA44+BD44+BG44+BJ44+BM44+BP44+BS44+BV44+BY44+CB44+CE44+CH44+CK44+CN44+CQ44+CT44+CW44+CZ44+DC44+DF44+DI44+DL44+DO44+DR44+DU44+DX44+EA44-0.1</f>
        <v>4571549.8909500008</v>
      </c>
      <c r="O44" s="23">
        <f t="shared" si="52"/>
        <v>3044.2</v>
      </c>
      <c r="P44" s="24">
        <f t="shared" si="53"/>
        <v>6.6590107788748049E-2</v>
      </c>
      <c r="Q44" s="24">
        <f t="shared" si="137"/>
        <v>606953.1</v>
      </c>
      <c r="R44" s="24">
        <f t="shared" si="137"/>
        <v>0</v>
      </c>
      <c r="S44" s="24">
        <f>R44/Q44%</f>
        <v>0</v>
      </c>
      <c r="T44" s="24">
        <f t="shared" si="137"/>
        <v>3266</v>
      </c>
      <c r="U44" s="24">
        <f t="shared" si="137"/>
        <v>0</v>
      </c>
      <c r="V44" s="24">
        <f t="shared" ref="V44" si="138">U44/T44%</f>
        <v>0</v>
      </c>
      <c r="W44" s="24">
        <f t="shared" ref="W44:X44" si="139">W38+W6</f>
        <v>143911.07906999998</v>
      </c>
      <c r="X44" s="24">
        <f t="shared" si="139"/>
        <v>0</v>
      </c>
      <c r="Y44" s="24">
        <f t="shared" ref="Y44" si="140">X44/W44%</f>
        <v>0</v>
      </c>
      <c r="Z44" s="24">
        <f t="shared" ref="Z44:AA44" si="141">Z38+Z6</f>
        <v>7141.5</v>
      </c>
      <c r="AA44" s="24">
        <f t="shared" si="141"/>
        <v>0</v>
      </c>
      <c r="AB44" s="24">
        <f t="shared" ref="AB44" si="142">AA44/Z44%</f>
        <v>0</v>
      </c>
      <c r="AC44" s="24">
        <f t="shared" ref="AC44:AD44" si="143">AC38+AC6</f>
        <v>76077.600000000006</v>
      </c>
      <c r="AD44" s="24">
        <f t="shared" si="143"/>
        <v>0</v>
      </c>
      <c r="AE44" s="24">
        <f t="shared" ref="AE44" si="144">AD44/AC44%</f>
        <v>0</v>
      </c>
      <c r="AF44" s="24">
        <f t="shared" ref="AF44:AG44" si="145">AF38+AF6</f>
        <v>28596.1</v>
      </c>
      <c r="AG44" s="24">
        <f t="shared" si="145"/>
        <v>0</v>
      </c>
      <c r="AH44" s="24">
        <f t="shared" ref="AH44" si="146">AG44/AF44%</f>
        <v>0</v>
      </c>
      <c r="AI44" s="24">
        <f>AI38+AI6+AI43</f>
        <v>8914.1</v>
      </c>
      <c r="AJ44" s="24">
        <f t="shared" si="137"/>
        <v>0</v>
      </c>
      <c r="AK44" s="24">
        <v>0</v>
      </c>
      <c r="AL44" s="24">
        <f>AL38+AL6+AL43</f>
        <v>109185</v>
      </c>
      <c r="AM44" s="24">
        <f t="shared" si="137"/>
        <v>0</v>
      </c>
      <c r="AN44" s="24">
        <f>AM44/AL44%</f>
        <v>0</v>
      </c>
      <c r="AO44" s="24">
        <f>AO38+AO6+AO43</f>
        <v>133034.79999999999</v>
      </c>
      <c r="AP44" s="24">
        <f t="shared" si="137"/>
        <v>0</v>
      </c>
      <c r="AQ44" s="24">
        <f>AP44/AO44%</f>
        <v>0</v>
      </c>
      <c r="AR44" s="24">
        <f t="shared" ref="AR44:AS44" si="147">AR38+AR6</f>
        <v>374.24</v>
      </c>
      <c r="AS44" s="24">
        <f t="shared" si="147"/>
        <v>0</v>
      </c>
      <c r="AT44" s="24">
        <f>AS44/AR44%</f>
        <v>0</v>
      </c>
      <c r="AU44" s="24">
        <f>AU38+AU6+AU43</f>
        <v>31581.595750000011</v>
      </c>
      <c r="AV44" s="24">
        <f t="shared" si="137"/>
        <v>0</v>
      </c>
      <c r="AW44" s="24">
        <f t="shared" ref="AW44" si="148">AV44/AU44%</f>
        <v>0</v>
      </c>
      <c r="AX44" s="24">
        <f t="shared" si="137"/>
        <v>80000</v>
      </c>
      <c r="AY44" s="24">
        <f t="shared" si="137"/>
        <v>0</v>
      </c>
      <c r="AZ44" s="24">
        <f>AY44/AX44%</f>
        <v>0</v>
      </c>
      <c r="BA44" s="24">
        <f t="shared" si="137"/>
        <v>11000</v>
      </c>
      <c r="BB44" s="24">
        <f t="shared" si="137"/>
        <v>0</v>
      </c>
      <c r="BC44" s="24">
        <f>BB44/BA44%</f>
        <v>0</v>
      </c>
      <c r="BD44" s="24">
        <f t="shared" si="137"/>
        <v>2158.4739500000005</v>
      </c>
      <c r="BE44" s="24">
        <f t="shared" si="137"/>
        <v>0</v>
      </c>
      <c r="BF44" s="24">
        <f>BE44/BD44%</f>
        <v>0</v>
      </c>
      <c r="BG44" s="24">
        <f t="shared" ref="BG44:BH44" si="149">BG38+BG6</f>
        <v>2050</v>
      </c>
      <c r="BH44" s="24">
        <f t="shared" si="149"/>
        <v>0</v>
      </c>
      <c r="BI44" s="24">
        <f>BH44/BG44%</f>
        <v>0</v>
      </c>
      <c r="BJ44" s="24">
        <f t="shared" si="137"/>
        <v>2835</v>
      </c>
      <c r="BK44" s="24">
        <f t="shared" si="137"/>
        <v>0</v>
      </c>
      <c r="BL44" s="24">
        <f t="shared" si="102"/>
        <v>0</v>
      </c>
      <c r="BM44" s="24">
        <f t="shared" si="137"/>
        <v>1476.7021300000001</v>
      </c>
      <c r="BN44" s="24">
        <f t="shared" si="137"/>
        <v>0</v>
      </c>
      <c r="BO44" s="24">
        <f>BN44/BM44%</f>
        <v>0</v>
      </c>
      <c r="BP44" s="24">
        <f t="shared" si="137"/>
        <v>108786.4</v>
      </c>
      <c r="BQ44" s="24">
        <f t="shared" si="137"/>
        <v>0</v>
      </c>
      <c r="BR44" s="24">
        <f t="shared" ref="BR44" si="150">BQ44/BP44%</f>
        <v>0</v>
      </c>
      <c r="BS44" s="24">
        <f t="shared" si="137"/>
        <v>195607.23</v>
      </c>
      <c r="BT44" s="24">
        <f t="shared" si="137"/>
        <v>0</v>
      </c>
      <c r="BU44" s="24">
        <f>BT44/BS44%</f>
        <v>0</v>
      </c>
      <c r="BV44" s="24">
        <f>BV38+BV6+BV43</f>
        <v>68062.5</v>
      </c>
      <c r="BW44" s="24">
        <f t="shared" si="137"/>
        <v>0</v>
      </c>
      <c r="BX44" s="24">
        <f>BW44/BV44%</f>
        <v>0</v>
      </c>
      <c r="BY44" s="24">
        <f>BY38+BY6</f>
        <v>41508.299999999996</v>
      </c>
      <c r="BZ44" s="24">
        <f t="shared" si="137"/>
        <v>3044.2</v>
      </c>
      <c r="CA44" s="24">
        <f>BZ44/BY44%</f>
        <v>7.3339548957678344</v>
      </c>
      <c r="CB44" s="24">
        <f>CB38+CB6+CB43</f>
        <v>17529.5</v>
      </c>
      <c r="CC44" s="24">
        <f t="shared" si="137"/>
        <v>0</v>
      </c>
      <c r="CD44" s="24">
        <f>CC44/CB44*100</f>
        <v>0</v>
      </c>
      <c r="CE44" s="24">
        <f>CE43+CE38+CE6</f>
        <v>42384.7</v>
      </c>
      <c r="CF44" s="24">
        <f t="shared" ref="CF44" si="151">CF38+CF6</f>
        <v>0</v>
      </c>
      <c r="CG44" s="24">
        <f>CF44/CE44*100</f>
        <v>0</v>
      </c>
      <c r="CH44" s="24">
        <f t="shared" si="137"/>
        <v>54058.54</v>
      </c>
      <c r="CI44" s="24">
        <f t="shared" si="137"/>
        <v>0</v>
      </c>
      <c r="CJ44" s="24">
        <f>CI44/CH44%</f>
        <v>0</v>
      </c>
      <c r="CK44" s="24">
        <f>CK38+CK6+CK43</f>
        <v>247243.6</v>
      </c>
      <c r="CL44" s="24">
        <f t="shared" si="137"/>
        <v>0</v>
      </c>
      <c r="CM44" s="26">
        <f t="shared" ref="CM44" si="152">CL44/CK44%</f>
        <v>0</v>
      </c>
      <c r="CN44" s="24">
        <f t="shared" ref="CN44:EK44" si="153">CN38+CN6</f>
        <v>220033.59999999998</v>
      </c>
      <c r="CO44" s="24">
        <f t="shared" si="153"/>
        <v>0</v>
      </c>
      <c r="CP44" s="24">
        <f>CO44/CN44%</f>
        <v>0</v>
      </c>
      <c r="CQ44" s="24">
        <f t="shared" si="153"/>
        <v>3266.7</v>
      </c>
      <c r="CR44" s="24">
        <f t="shared" si="153"/>
        <v>0</v>
      </c>
      <c r="CS44" s="24">
        <f>CR44/CQ44%</f>
        <v>0</v>
      </c>
      <c r="CT44" s="24">
        <f t="shared" si="153"/>
        <v>1732.3404300000002</v>
      </c>
      <c r="CU44" s="24">
        <f t="shared" si="153"/>
        <v>0</v>
      </c>
      <c r="CV44" s="24">
        <f>CU44/CT44%</f>
        <v>0</v>
      </c>
      <c r="CW44" s="24">
        <f t="shared" si="153"/>
        <v>304468.87760000007</v>
      </c>
      <c r="CX44" s="24">
        <f t="shared" si="153"/>
        <v>0</v>
      </c>
      <c r="CY44" s="24">
        <f>CX44/CW44%</f>
        <v>0</v>
      </c>
      <c r="CZ44" s="24">
        <f t="shared" ref="CZ44:DA44" si="154">CZ38+CZ6</f>
        <v>42750.199999999983</v>
      </c>
      <c r="DA44" s="24">
        <f t="shared" si="154"/>
        <v>0</v>
      </c>
      <c r="DB44" s="24">
        <f>DA44/CZ44%</f>
        <v>0</v>
      </c>
      <c r="DC44" s="24">
        <f t="shared" ref="DC44:DD44" si="155">DC38+DC6</f>
        <v>818642.38171999995</v>
      </c>
      <c r="DD44" s="24">
        <f t="shared" si="155"/>
        <v>0</v>
      </c>
      <c r="DE44" s="24">
        <f>DD44/DC44%</f>
        <v>0</v>
      </c>
      <c r="DF44" s="24">
        <f t="shared" ref="DF44:DG44" si="156">DF38+DF6</f>
        <v>13264.9</v>
      </c>
      <c r="DG44" s="24">
        <f t="shared" si="156"/>
        <v>0</v>
      </c>
      <c r="DH44" s="24">
        <f>DG44/DF44%</f>
        <v>0</v>
      </c>
      <c r="DI44" s="24">
        <f t="shared" si="153"/>
        <v>498975.4</v>
      </c>
      <c r="DJ44" s="24">
        <f t="shared" si="153"/>
        <v>0</v>
      </c>
      <c r="DK44" s="24">
        <f>DJ44/DI44%</f>
        <v>0</v>
      </c>
      <c r="DL44" s="24">
        <f>DL38+DL6</f>
        <v>4100</v>
      </c>
      <c r="DM44" s="24">
        <f>DM38+DM6</f>
        <v>0</v>
      </c>
      <c r="DN44" s="24">
        <f>DM44/DL44%</f>
        <v>0</v>
      </c>
      <c r="DO44" s="24">
        <f t="shared" ref="DO44:DP44" si="157">DO38+DO6</f>
        <v>57000</v>
      </c>
      <c r="DP44" s="24">
        <f t="shared" si="157"/>
        <v>0</v>
      </c>
      <c r="DQ44" s="24">
        <f>DP44/DO44%</f>
        <v>0</v>
      </c>
      <c r="DR44" s="24">
        <f>DR38+DR6</f>
        <v>63477</v>
      </c>
      <c r="DS44" s="24">
        <f>DS38+DS6</f>
        <v>0</v>
      </c>
      <c r="DT44" s="24">
        <f>DS44/DR44%</f>
        <v>0</v>
      </c>
      <c r="DU44" s="24">
        <f>DU38+DU6</f>
        <v>10550.1</v>
      </c>
      <c r="DV44" s="24">
        <f>DV38+DV6</f>
        <v>0</v>
      </c>
      <c r="DW44" s="24">
        <f>DV44/DU44%</f>
        <v>0</v>
      </c>
      <c r="DX44" s="24">
        <f t="shared" si="153"/>
        <v>486599.4203</v>
      </c>
      <c r="DY44" s="24">
        <f>DY38+DY6</f>
        <v>0</v>
      </c>
      <c r="DZ44" s="24">
        <f>DY44/DX44%</f>
        <v>0</v>
      </c>
      <c r="EA44" s="24">
        <f t="shared" ref="EA44" si="158">EA38+EA6</f>
        <v>22953.010000000002</v>
      </c>
      <c r="EB44" s="24">
        <f>EB38+EB6</f>
        <v>0</v>
      </c>
      <c r="EC44" s="24">
        <f>EB44/EA44%</f>
        <v>0</v>
      </c>
      <c r="ED44" s="23">
        <f>ED43+ED38+ED6</f>
        <v>13670336.980000004</v>
      </c>
      <c r="EE44" s="23">
        <f>EE43+EE38+EE6</f>
        <v>3461509.7218099996</v>
      </c>
      <c r="EF44" s="24">
        <f t="shared" si="57"/>
        <v>25.321319634433753</v>
      </c>
      <c r="EG44" s="24">
        <f t="shared" si="153"/>
        <v>106391.40000000002</v>
      </c>
      <c r="EH44" s="24">
        <f t="shared" si="153"/>
        <v>25017.401530000003</v>
      </c>
      <c r="EI44" s="24">
        <f>EH44/EG44%</f>
        <v>23.514496030694207</v>
      </c>
      <c r="EJ44" s="24">
        <f t="shared" si="153"/>
        <v>1255.9000000000001</v>
      </c>
      <c r="EK44" s="24">
        <f t="shared" si="153"/>
        <v>0</v>
      </c>
      <c r="EL44" s="24">
        <f>EK44/EJ44%</f>
        <v>0</v>
      </c>
      <c r="EM44" s="24">
        <f t="shared" ref="EM44:GY44" si="159">EM38+EM6</f>
        <v>61.2</v>
      </c>
      <c r="EN44" s="24">
        <f t="shared" si="159"/>
        <v>0</v>
      </c>
      <c r="EO44" s="24">
        <f t="shared" si="115"/>
        <v>0</v>
      </c>
      <c r="EP44" s="24">
        <f>EP38+EP6+EP43</f>
        <v>4276826.6000000006</v>
      </c>
      <c r="EQ44" s="24">
        <f t="shared" si="159"/>
        <v>978259.39400000009</v>
      </c>
      <c r="ER44" s="24">
        <f t="shared" ref="ER44" si="160">EQ44/EP44%</f>
        <v>22.87348741237253</v>
      </c>
      <c r="ES44" s="24">
        <f>ES43+ES38+ES6</f>
        <v>7873249.0000000009</v>
      </c>
      <c r="ET44" s="24">
        <f>ET43+ET38+ET6</f>
        <v>2183728.1298500001</v>
      </c>
      <c r="EU44" s="27">
        <f t="shared" si="59"/>
        <v>27.736048102251054</v>
      </c>
      <c r="EV44" s="24">
        <f t="shared" si="159"/>
        <v>305311.29999999993</v>
      </c>
      <c r="EW44" s="26">
        <f t="shared" si="159"/>
        <v>76276.2</v>
      </c>
      <c r="EX44" s="26">
        <f t="shared" ref="EX44" si="161">EW44/EV44%</f>
        <v>24.983091028730353</v>
      </c>
      <c r="EY44" s="24">
        <f t="shared" si="159"/>
        <v>132960.00000000003</v>
      </c>
      <c r="EZ44" s="24">
        <f t="shared" si="159"/>
        <v>0</v>
      </c>
      <c r="FA44" s="24">
        <f t="shared" ref="FA44" si="162">EZ44/EY44%</f>
        <v>0</v>
      </c>
      <c r="FB44" s="24">
        <f t="shared" si="159"/>
        <v>13000</v>
      </c>
      <c r="FC44" s="24">
        <f t="shared" si="159"/>
        <v>0</v>
      </c>
      <c r="FD44" s="24">
        <f>FC44/FB44%</f>
        <v>0</v>
      </c>
      <c r="FE44" s="24">
        <f t="shared" si="159"/>
        <v>485.7</v>
      </c>
      <c r="FF44" s="24">
        <f t="shared" si="159"/>
        <v>74.917609999999996</v>
      </c>
      <c r="FG44" s="24">
        <f t="shared" ref="FG44" si="163">FF44/FE44%</f>
        <v>15.424667490220299</v>
      </c>
      <c r="FH44" s="24">
        <f t="shared" si="159"/>
        <v>126208.9</v>
      </c>
      <c r="FI44" s="24">
        <f t="shared" si="159"/>
        <v>16208.900049999998</v>
      </c>
      <c r="FJ44" s="24">
        <f t="shared" si="116"/>
        <v>12.842913653474517</v>
      </c>
      <c r="FK44" s="24">
        <f t="shared" ref="FK44:FL44" si="164">FK38+FK6</f>
        <v>6562.5</v>
      </c>
      <c r="FL44" s="24">
        <f t="shared" si="164"/>
        <v>1640.4000000000003</v>
      </c>
      <c r="FM44" s="24">
        <f t="shared" ref="FM44" si="165">FL44/FK44%</f>
        <v>24.996571428571432</v>
      </c>
      <c r="FN44" s="24">
        <f t="shared" si="159"/>
        <v>444.7</v>
      </c>
      <c r="FO44" s="24">
        <f t="shared" si="159"/>
        <v>0</v>
      </c>
      <c r="FP44" s="24">
        <f t="shared" si="118"/>
        <v>0</v>
      </c>
      <c r="FQ44" s="24">
        <f t="shared" si="159"/>
        <v>3405.1</v>
      </c>
      <c r="FR44" s="24">
        <f t="shared" si="159"/>
        <v>811</v>
      </c>
      <c r="FS44" s="24">
        <f t="shared" si="119"/>
        <v>23.817215353440425</v>
      </c>
      <c r="FT44" s="24">
        <f t="shared" ref="FT44:FU44" si="166">FT38+FT6</f>
        <v>36</v>
      </c>
      <c r="FU44" s="24">
        <f t="shared" si="166"/>
        <v>0</v>
      </c>
      <c r="FV44" s="24">
        <f t="shared" ref="FV44" si="167">FU44/FT44%</f>
        <v>0</v>
      </c>
      <c r="FW44" s="24">
        <f t="shared" si="159"/>
        <v>24184.899999999994</v>
      </c>
      <c r="FX44" s="24">
        <f t="shared" si="159"/>
        <v>5377.643</v>
      </c>
      <c r="FY44" s="24">
        <f t="shared" si="122"/>
        <v>22.235539530864305</v>
      </c>
      <c r="FZ44" s="24">
        <f t="shared" si="159"/>
        <v>12084.8</v>
      </c>
      <c r="GA44" s="24">
        <f t="shared" si="159"/>
        <v>3105.58304</v>
      </c>
      <c r="GB44" s="24">
        <f t="shared" si="123"/>
        <v>25.698257645968489</v>
      </c>
      <c r="GC44" s="24">
        <f t="shared" si="159"/>
        <v>1049.9000000000001</v>
      </c>
      <c r="GD44" s="24">
        <f t="shared" si="159"/>
        <v>262.44899999999996</v>
      </c>
      <c r="GE44" s="24">
        <f t="shared" ref="GE44" si="168">GD44/GC44%</f>
        <v>24.997523573673678</v>
      </c>
      <c r="GF44" s="24">
        <f t="shared" si="159"/>
        <v>18.48</v>
      </c>
      <c r="GG44" s="24">
        <f t="shared" si="159"/>
        <v>0</v>
      </c>
      <c r="GH44" s="24">
        <f t="shared" ref="GH44" si="169">GG44/GF44%</f>
        <v>0</v>
      </c>
      <c r="GI44" s="24">
        <f t="shared" ref="GI44:GJ44" si="170">GI38+GI6</f>
        <v>58639.400000000009</v>
      </c>
      <c r="GJ44" s="24">
        <f t="shared" si="170"/>
        <v>11944.960810000002</v>
      </c>
      <c r="GK44" s="24">
        <f t="shared" ref="GK44" si="171">GJ44/GI44%</f>
        <v>20.370196165035797</v>
      </c>
      <c r="GL44" s="24">
        <f t="shared" ref="GL44:GM44" si="172">GL38+GL6</f>
        <v>476.2</v>
      </c>
      <c r="GM44" s="24">
        <f t="shared" si="172"/>
        <v>0</v>
      </c>
      <c r="GN44" s="24">
        <f t="shared" ref="GN44" si="173">GM44/GL44%</f>
        <v>0</v>
      </c>
      <c r="GO44" s="24">
        <f t="shared" si="159"/>
        <v>7164.2999999999993</v>
      </c>
      <c r="GP44" s="24">
        <f t="shared" si="159"/>
        <v>1786.508</v>
      </c>
      <c r="GQ44" s="24">
        <f>GP44/GO44%</f>
        <v>24.936253367391096</v>
      </c>
      <c r="GR44" s="24">
        <f t="shared" si="159"/>
        <v>49446.799999999988</v>
      </c>
      <c r="GS44" s="24">
        <f t="shared" si="159"/>
        <v>8782.0999999999985</v>
      </c>
      <c r="GT44" s="24">
        <f t="shared" ref="GT44" si="174">GS44/GR44%</f>
        <v>17.760704433856187</v>
      </c>
      <c r="GU44" s="24">
        <f t="shared" si="159"/>
        <v>40645.300000000003</v>
      </c>
      <c r="GV44" s="24">
        <f t="shared" si="159"/>
        <v>0</v>
      </c>
      <c r="GW44" s="24">
        <f t="shared" si="127"/>
        <v>0</v>
      </c>
      <c r="GX44" s="24">
        <f t="shared" si="159"/>
        <v>15656.300000000003</v>
      </c>
      <c r="GY44" s="24">
        <f t="shared" si="159"/>
        <v>0</v>
      </c>
      <c r="GZ44" s="24">
        <f>GY44/GX44%</f>
        <v>0</v>
      </c>
      <c r="HA44" s="24">
        <f>HA6+HA38</f>
        <v>515453.30000000005</v>
      </c>
      <c r="HB44" s="24">
        <f>HB6+HB38</f>
        <v>125209.13491999998</v>
      </c>
      <c r="HC44" s="27">
        <f t="shared" si="61"/>
        <v>24.291072521991801</v>
      </c>
      <c r="HD44" s="24">
        <f t="shared" ref="HD44:HH44" si="175">HD38+HD6</f>
        <v>99319</v>
      </c>
      <c r="HE44" s="24">
        <f t="shared" si="175"/>
        <v>23024.999999999996</v>
      </c>
      <c r="HF44" s="24">
        <f>HE44/HD44%</f>
        <v>23.182875381346967</v>
      </c>
      <c r="HG44" s="26">
        <f>HG38+HG6+HG43</f>
        <v>1639332.82956</v>
      </c>
      <c r="HH44" s="26">
        <f t="shared" si="175"/>
        <v>0</v>
      </c>
      <c r="HI44" s="26">
        <f>HH44/HG44%</f>
        <v>0</v>
      </c>
      <c r="HJ44" s="26">
        <f>HJ6+HJ38+HJ43</f>
        <v>255</v>
      </c>
      <c r="HK44" s="26">
        <f t="shared" ref="HK44:IU44" si="176">HK6+HK38+HK43</f>
        <v>0</v>
      </c>
      <c r="HL44" s="26">
        <v>0</v>
      </c>
      <c r="HM44" s="26">
        <f t="shared" si="176"/>
        <v>51473.014999999999</v>
      </c>
      <c r="HN44" s="26">
        <f t="shared" si="176"/>
        <v>0</v>
      </c>
      <c r="HO44" s="26">
        <f t="shared" si="176"/>
        <v>0</v>
      </c>
      <c r="HP44" s="26">
        <f t="shared" si="176"/>
        <v>365872.59999999992</v>
      </c>
      <c r="HQ44" s="26">
        <f t="shared" si="176"/>
        <v>0</v>
      </c>
      <c r="HR44" s="26">
        <f t="shared" si="176"/>
        <v>0</v>
      </c>
      <c r="HS44" s="26">
        <f t="shared" si="176"/>
        <v>105979.5</v>
      </c>
      <c r="HT44" s="26">
        <f t="shared" si="176"/>
        <v>0</v>
      </c>
      <c r="HU44" s="26">
        <v>0</v>
      </c>
      <c r="HV44" s="26">
        <f t="shared" si="176"/>
        <v>56430</v>
      </c>
      <c r="HW44" s="26">
        <f t="shared" si="176"/>
        <v>0</v>
      </c>
      <c r="HX44" s="26">
        <f t="shared" si="176"/>
        <v>0</v>
      </c>
      <c r="HY44" s="26">
        <f t="shared" si="176"/>
        <v>6248.3710799999999</v>
      </c>
      <c r="HZ44" s="26">
        <f t="shared" si="176"/>
        <v>0</v>
      </c>
      <c r="IA44" s="26">
        <v>0</v>
      </c>
      <c r="IB44" s="26">
        <f t="shared" si="176"/>
        <v>1070.5</v>
      </c>
      <c r="IC44" s="26">
        <f t="shared" si="176"/>
        <v>0</v>
      </c>
      <c r="ID44" s="26">
        <v>0</v>
      </c>
      <c r="IE44" s="26">
        <f t="shared" si="176"/>
        <v>570</v>
      </c>
      <c r="IF44" s="26">
        <f t="shared" si="176"/>
        <v>0</v>
      </c>
      <c r="IG44" s="26">
        <f t="shared" si="176"/>
        <v>0</v>
      </c>
      <c r="IH44" s="26">
        <f t="shared" si="176"/>
        <v>63.114849999999997</v>
      </c>
      <c r="II44" s="26">
        <f t="shared" si="176"/>
        <v>0</v>
      </c>
      <c r="IJ44" s="26">
        <f t="shared" si="176"/>
        <v>0</v>
      </c>
      <c r="IK44" s="26">
        <f t="shared" si="176"/>
        <v>1574.7820000000002</v>
      </c>
      <c r="IL44" s="26">
        <f t="shared" si="176"/>
        <v>0</v>
      </c>
      <c r="IM44" s="26">
        <v>0</v>
      </c>
      <c r="IN44" s="26">
        <f t="shared" si="176"/>
        <v>2040.8163300000001</v>
      </c>
      <c r="IO44" s="26">
        <f t="shared" si="176"/>
        <v>0</v>
      </c>
      <c r="IP44" s="26">
        <f t="shared" si="176"/>
        <v>0</v>
      </c>
      <c r="IQ44" s="26">
        <f t="shared" si="176"/>
        <v>1047755.1303</v>
      </c>
      <c r="IR44" s="26">
        <f t="shared" si="176"/>
        <v>0</v>
      </c>
      <c r="IS44" s="26">
        <f t="shared" si="176"/>
        <v>0</v>
      </c>
      <c r="IT44" s="12">
        <f t="shared" si="176"/>
        <v>24552933.100510005</v>
      </c>
      <c r="IU44" s="12">
        <f t="shared" si="176"/>
        <v>5036774.3818099992</v>
      </c>
      <c r="IV44" s="10">
        <f t="shared" si="67"/>
        <v>20.513941699720501</v>
      </c>
    </row>
    <row r="1048576" spans="248:250" x14ac:dyDescent="0.2">
      <c r="IN1048576" s="18">
        <f>SUM(IN44:IN1048575)</f>
        <v>2040.8163300000001</v>
      </c>
      <c r="IO1048576" s="18">
        <f>SUM(IO6:IO1048575)</f>
        <v>0</v>
      </c>
      <c r="IP1048576" s="18">
        <f>SUM(IP6:IP1048575)</f>
        <v>0</v>
      </c>
    </row>
  </sheetData>
  <mergeCells count="166">
    <mergeCell ref="IN4:IP4"/>
    <mergeCell ref="IQ4:IS4"/>
    <mergeCell ref="HJ2:IS2"/>
    <mergeCell ref="IE4:IG4"/>
    <mergeCell ref="IH4:IJ4"/>
    <mergeCell ref="IB4:ID4"/>
    <mergeCell ref="HY4:IA4"/>
    <mergeCell ref="HP4:HR4"/>
    <mergeCell ref="HS4:HU4"/>
    <mergeCell ref="IB3:IJ3"/>
    <mergeCell ref="HS3:IA3"/>
    <mergeCell ref="HJ3:HL3"/>
    <mergeCell ref="HJ4:HL4"/>
    <mergeCell ref="HM4:HO4"/>
    <mergeCell ref="HM3:HO3"/>
    <mergeCell ref="HP3:HR3"/>
    <mergeCell ref="IT2:IV4"/>
    <mergeCell ref="DR4:DT4"/>
    <mergeCell ref="DU4:DW4"/>
    <mergeCell ref="W4:Y4"/>
    <mergeCell ref="W3:Y3"/>
    <mergeCell ref="Z3:AB3"/>
    <mergeCell ref="Z4:AB4"/>
    <mergeCell ref="AC3:AE3"/>
    <mergeCell ref="AF3:AH3"/>
    <mergeCell ref="AC4:AE4"/>
    <mergeCell ref="AF4:AH4"/>
    <mergeCell ref="AI4:AK4"/>
    <mergeCell ref="GU4:GW4"/>
    <mergeCell ref="HD4:HF4"/>
    <mergeCell ref="EP4:ER4"/>
    <mergeCell ref="EV4:EX4"/>
    <mergeCell ref="FZ4:GB4"/>
    <mergeCell ref="GC4:GE4"/>
    <mergeCell ref="DX4:DZ4"/>
    <mergeCell ref="EG2:HF2"/>
    <mergeCell ref="IK3:IM3"/>
    <mergeCell ref="IK4:IM4"/>
    <mergeCell ref="IN3:IP3"/>
    <mergeCell ref="IQ3:IS3"/>
    <mergeCell ref="A1:HX1"/>
    <mergeCell ref="Q4:S4"/>
    <mergeCell ref="E4:G4"/>
    <mergeCell ref="H4:J4"/>
    <mergeCell ref="EG4:EI4"/>
    <mergeCell ref="T4:V4"/>
    <mergeCell ref="EJ4:EL4"/>
    <mergeCell ref="B2:D4"/>
    <mergeCell ref="AO3:AQ3"/>
    <mergeCell ref="CQ4:CS4"/>
    <mergeCell ref="K4:M4"/>
    <mergeCell ref="GO4:GQ4"/>
    <mergeCell ref="BV4:BX4"/>
    <mergeCell ref="BY4:CA4"/>
    <mergeCell ref="CB4:CD4"/>
    <mergeCell ref="CH4:CJ4"/>
    <mergeCell ref="E2:M2"/>
    <mergeCell ref="BS3:BU3"/>
    <mergeCell ref="BP3:BR3"/>
    <mergeCell ref="CN4:CP4"/>
    <mergeCell ref="CW4:CY4"/>
    <mergeCell ref="DI4:DK4"/>
    <mergeCell ref="EA4:EC4"/>
    <mergeCell ref="ES4:EU4"/>
    <mergeCell ref="BM3:BO3"/>
    <mergeCell ref="BJ3:BL3"/>
    <mergeCell ref="BA3:BC3"/>
    <mergeCell ref="CK4:CM4"/>
    <mergeCell ref="AL4:AN4"/>
    <mergeCell ref="AO4:AQ4"/>
    <mergeCell ref="AU4:AW4"/>
    <mergeCell ref="BD4:BF4"/>
    <mergeCell ref="BJ4:BL4"/>
    <mergeCell ref="BM4:BO4"/>
    <mergeCell ref="BP4:BR4"/>
    <mergeCell ref="BS4:BU4"/>
    <mergeCell ref="AR4:AT4"/>
    <mergeCell ref="BG4:BI4"/>
    <mergeCell ref="BV3:BX3"/>
    <mergeCell ref="N2:P4"/>
    <mergeCell ref="AX4:AZ4"/>
    <mergeCell ref="BA4:BC4"/>
    <mergeCell ref="DI3:DK3"/>
    <mergeCell ref="CT3:CV3"/>
    <mergeCell ref="CN3:CP3"/>
    <mergeCell ref="CH3:CJ3"/>
    <mergeCell ref="CK3:CM3"/>
    <mergeCell ref="GI4:GK4"/>
    <mergeCell ref="CB3:CD3"/>
    <mergeCell ref="CE3:CG3"/>
    <mergeCell ref="CW3:CY3"/>
    <mergeCell ref="DX3:DZ3"/>
    <mergeCell ref="EA3:EC3"/>
    <mergeCell ref="BY3:CA3"/>
    <mergeCell ref="AU3:AW3"/>
    <mergeCell ref="CT4:CV4"/>
    <mergeCell ref="AI3:AK3"/>
    <mergeCell ref="BD3:BF3"/>
    <mergeCell ref="AX3:AZ3"/>
    <mergeCell ref="AR3:AT3"/>
    <mergeCell ref="BG3:BI3"/>
    <mergeCell ref="AL3:AN3"/>
    <mergeCell ref="CZ4:DB4"/>
    <mergeCell ref="FT4:FV4"/>
    <mergeCell ref="CZ3:DB3"/>
    <mergeCell ref="DC3:DE3"/>
    <mergeCell ref="DF3:DH3"/>
    <mergeCell ref="DO3:DQ3"/>
    <mergeCell ref="DR3:DT3"/>
    <mergeCell ref="DU3:DW3"/>
    <mergeCell ref="DO4:DQ4"/>
    <mergeCell ref="FB4:FD4"/>
    <mergeCell ref="FE4:FG4"/>
    <mergeCell ref="EM4:EO4"/>
    <mergeCell ref="EY4:FA4"/>
    <mergeCell ref="EV3:EX3"/>
    <mergeCell ref="EP3:EU3"/>
    <mergeCell ref="DL3:DN3"/>
    <mergeCell ref="GX3:GZ3"/>
    <mergeCell ref="HD3:HF3"/>
    <mergeCell ref="GL3:GN3"/>
    <mergeCell ref="GL4:GN4"/>
    <mergeCell ref="EM3:EO3"/>
    <mergeCell ref="FK4:FM4"/>
    <mergeCell ref="DC4:DE4"/>
    <mergeCell ref="DF4:DH4"/>
    <mergeCell ref="FE3:FG3"/>
    <mergeCell ref="FB3:FD3"/>
    <mergeCell ref="EY3:FA3"/>
    <mergeCell ref="DL4:DN4"/>
    <mergeCell ref="FH4:FJ4"/>
    <mergeCell ref="GO3:GQ3"/>
    <mergeCell ref="FH3:FJ3"/>
    <mergeCell ref="FQ3:FS3"/>
    <mergeCell ref="HA3:HC3"/>
    <mergeCell ref="HA4:HC4"/>
    <mergeCell ref="GC3:GE3"/>
    <mergeCell ref="GF3:GH3"/>
    <mergeCell ref="GF4:GH4"/>
    <mergeCell ref="GI3:GK3"/>
    <mergeCell ref="FW4:FY4"/>
    <mergeCell ref="FT3:FV3"/>
    <mergeCell ref="FW3:FY3"/>
    <mergeCell ref="A2:A5"/>
    <mergeCell ref="HV4:HX4"/>
    <mergeCell ref="Q2:EC2"/>
    <mergeCell ref="ED2:EF4"/>
    <mergeCell ref="HG2:HI4"/>
    <mergeCell ref="K3:M3"/>
    <mergeCell ref="EJ3:EL3"/>
    <mergeCell ref="Q3:S3"/>
    <mergeCell ref="E3:G3"/>
    <mergeCell ref="H3:J3"/>
    <mergeCell ref="EG3:EI3"/>
    <mergeCell ref="T3:V3"/>
    <mergeCell ref="CQ3:CS3"/>
    <mergeCell ref="FZ3:GB3"/>
    <mergeCell ref="CE4:CG4"/>
    <mergeCell ref="GX4:GZ4"/>
    <mergeCell ref="GR4:GT4"/>
    <mergeCell ref="FQ4:FS4"/>
    <mergeCell ref="FN4:FP4"/>
    <mergeCell ref="FK3:FM3"/>
    <mergeCell ref="FN3:FP3"/>
    <mergeCell ref="GU3:GW3"/>
    <mergeCell ref="GR3:GT3"/>
  </mergeCells>
  <pageMargins left="0.11811023622047245" right="0.11811023622047245" top="0.15748031496062992" bottom="0.15748031496062992" header="0" footer="0"/>
  <pageSetup paperSize="9" scale="7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2020-08-03T05:00:35Z</cp:lastPrinted>
  <dcterms:created xsi:type="dcterms:W3CDTF">2018-05-04T00:39:31Z</dcterms:created>
  <dcterms:modified xsi:type="dcterms:W3CDTF">2020-08-17T06:37:35Z</dcterms:modified>
</cp:coreProperties>
</file>