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23040" windowHeight="9195"/>
  </bookViews>
  <sheets>
    <sheet name="Документ" sheetId="2" r:id="rId1"/>
  </sheets>
  <definedNames>
    <definedName name="_xlnm._FilterDatabase" localSheetId="0" hidden="1">Документ!$A$6:$G$94</definedName>
    <definedName name="_xlnm.Print_Titles" localSheetId="0">Документ!$4:$6</definedName>
    <definedName name="_xlnm.Print_Area" localSheetId="0">Документ!$A$1:$F$95</definedName>
  </definedNames>
  <calcPr calcId="145621"/>
</workbook>
</file>

<file path=xl/calcChain.xml><?xml version="1.0" encoding="utf-8"?>
<calcChain xmlns="http://schemas.openxmlformats.org/spreadsheetml/2006/main">
  <c r="F94" i="2" l="1"/>
  <c r="G94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5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1" i="2"/>
  <c r="G92" i="2"/>
  <c r="G93" i="2"/>
  <c r="G7" i="2"/>
  <c r="C53" i="2" l="1"/>
  <c r="D93" i="2"/>
  <c r="D92" i="2"/>
  <c r="E92" i="2" s="1"/>
  <c r="D91" i="2"/>
  <c r="D89" i="2"/>
  <c r="D88" i="2"/>
  <c r="E88" i="2" s="1"/>
  <c r="D87" i="2"/>
  <c r="E87" i="2" s="1"/>
  <c r="D86" i="2"/>
  <c r="E86" i="2" s="1"/>
  <c r="D85" i="2"/>
  <c r="D84" i="2"/>
  <c r="E84" i="2" s="1"/>
  <c r="D83" i="2"/>
  <c r="D82" i="2"/>
  <c r="D81" i="2"/>
  <c r="D80" i="2" s="1"/>
  <c r="C93" i="2"/>
  <c r="C92" i="2"/>
  <c r="C90" i="2"/>
  <c r="C88" i="2"/>
  <c r="C86" i="2"/>
  <c r="C85" i="2"/>
  <c r="C83" i="2"/>
  <c r="C82" i="2"/>
  <c r="C81" i="2"/>
  <c r="C80" i="2" s="1"/>
  <c r="E89" i="2"/>
  <c r="E90" i="2"/>
  <c r="E91" i="2"/>
  <c r="E82" i="2"/>
  <c r="E83" i="2"/>
  <c r="E85" i="2"/>
  <c r="E93" i="2"/>
  <c r="E81" i="2"/>
  <c r="F79" i="2"/>
  <c r="F78" i="2"/>
  <c r="F75" i="2"/>
  <c r="F74" i="2"/>
  <c r="F72" i="2"/>
  <c r="F70" i="2"/>
  <c r="F69" i="2"/>
  <c r="F68" i="2"/>
  <c r="F66" i="2"/>
  <c r="F64" i="2"/>
  <c r="F63" i="2"/>
  <c r="F62" i="2"/>
  <c r="F59" i="2"/>
  <c r="F58" i="2"/>
  <c r="F57" i="2"/>
  <c r="F54" i="2"/>
  <c r="D79" i="2"/>
  <c r="D78" i="2"/>
  <c r="D77" i="2"/>
  <c r="E77" i="2" s="1"/>
  <c r="D76" i="2"/>
  <c r="E76" i="2" s="1"/>
  <c r="D75" i="2"/>
  <c r="D74" i="2"/>
  <c r="D73" i="2"/>
  <c r="E73" i="2" s="1"/>
  <c r="D72" i="2"/>
  <c r="E72" i="2" s="1"/>
  <c r="D71" i="2"/>
  <c r="D70" i="2"/>
  <c r="E70" i="2" s="1"/>
  <c r="D69" i="2"/>
  <c r="D68" i="2"/>
  <c r="E68" i="2" s="1"/>
  <c r="D67" i="2"/>
  <c r="D66" i="2"/>
  <c r="D65" i="2"/>
  <c r="D64" i="2"/>
  <c r="E64" i="2" s="1"/>
  <c r="D63" i="2"/>
  <c r="D62" i="2"/>
  <c r="D61" i="2"/>
  <c r="D60" i="2"/>
  <c r="E60" i="2" s="1"/>
  <c r="D59" i="2"/>
  <c r="D58" i="2"/>
  <c r="D57" i="2"/>
  <c r="D56" i="2"/>
  <c r="E56" i="2" s="1"/>
  <c r="D55" i="2"/>
  <c r="D54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E78" i="2"/>
  <c r="E79" i="2"/>
  <c r="E55" i="2"/>
  <c r="E57" i="2"/>
  <c r="E58" i="2"/>
  <c r="E59" i="2"/>
  <c r="E61" i="2"/>
  <c r="E62" i="2"/>
  <c r="E63" i="2"/>
  <c r="E65" i="2"/>
  <c r="E66" i="2"/>
  <c r="E67" i="2"/>
  <c r="E69" i="2"/>
  <c r="E71" i="2"/>
  <c r="E74" i="2"/>
  <c r="E75" i="2"/>
  <c r="E54" i="2"/>
  <c r="F32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C52" i="2"/>
  <c r="C51" i="2"/>
  <c r="C49" i="2"/>
  <c r="C48" i="2"/>
  <c r="C47" i="2"/>
  <c r="C46" i="2"/>
  <c r="C45" i="2"/>
  <c r="C44" i="2"/>
  <c r="C43" i="2"/>
  <c r="C42" i="2"/>
  <c r="C41" i="2"/>
  <c r="C40" i="2"/>
  <c r="C39" i="2"/>
  <c r="C38" i="2"/>
  <c r="C36" i="2"/>
  <c r="C35" i="2"/>
  <c r="C34" i="2"/>
  <c r="C33" i="2"/>
  <c r="C32" i="2"/>
  <c r="C30" i="2"/>
  <c r="C29" i="2"/>
  <c r="C28" i="2"/>
  <c r="C27" i="2"/>
  <c r="C26" i="2"/>
  <c r="C25" i="2"/>
  <c r="C24" i="2"/>
  <c r="C23" i="2"/>
  <c r="C22" i="2"/>
  <c r="C19" i="2"/>
  <c r="C17" i="2"/>
  <c r="C16" i="2"/>
  <c r="C15" i="2"/>
  <c r="C14" i="2"/>
  <c r="E80" i="2" l="1"/>
  <c r="C1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12" i="2"/>
  <c r="F10" i="2"/>
  <c r="F8" i="2"/>
  <c r="F7" i="2" s="1"/>
  <c r="D10" i="2"/>
  <c r="E10" i="2" s="1"/>
  <c r="D9" i="2"/>
  <c r="E9" i="2" s="1"/>
  <c r="D8" i="2"/>
  <c r="C10" i="2"/>
  <c r="C9" i="2"/>
  <c r="C8" i="2"/>
  <c r="E8" i="2"/>
  <c r="C7" i="2" l="1"/>
  <c r="D7" i="2"/>
  <c r="D53" i="2"/>
  <c r="D11" i="2"/>
  <c r="F53" i="2" l="1"/>
  <c r="E53" i="2"/>
  <c r="F80" i="2"/>
  <c r="F11" i="2"/>
  <c r="E11" i="2"/>
  <c r="D94" i="2"/>
  <c r="E7" i="2"/>
  <c r="C94" i="2" l="1"/>
  <c r="E94" i="2"/>
</calcChain>
</file>

<file path=xl/sharedStrings.xml><?xml version="1.0" encoding="utf-8"?>
<sst xmlns="http://schemas.openxmlformats.org/spreadsheetml/2006/main" count="174" uniqueCount="169">
  <si>
    <t>Наименование</t>
  </si>
  <si>
    <t>План по закону первоначальный</t>
  </si>
  <si>
    <t>План по закону уточненный</t>
  </si>
  <si>
    <t>Фактическое исполнение</t>
  </si>
  <si>
    <t>1.Дотации - всего:</t>
  </si>
  <si>
    <t xml:space="preserve">  Дотации на выравнивание бюджетной обеспеченности муниципальных районов (городских округов)</t>
  </si>
  <si>
    <t>0130278020</t>
  </si>
  <si>
    <t xml:space="preserve">  Дотации на поддержку мер по обеспечению сбалансированности бюджетов муниципальных районов (городских округов) Забайкальского края</t>
  </si>
  <si>
    <t>0130278050</t>
  </si>
  <si>
    <t xml:space="preserve">  Дотации, связанные с особым режимом безопасного функционирования закрытых административно-территориальных образований</t>
  </si>
  <si>
    <t>8800050100</t>
  </si>
  <si>
    <t>2. Субсидии - всего:</t>
  </si>
  <si>
    <t>1210374521</t>
  </si>
  <si>
    <t>1330374315</t>
  </si>
  <si>
    <t>1330374317</t>
  </si>
  <si>
    <t>1470271101</t>
  </si>
  <si>
    <t>2710274905</t>
  </si>
  <si>
    <t>28301R0230</t>
  </si>
  <si>
    <t>3. Субвенции - всего:</t>
  </si>
  <si>
    <t>4. Иные межбюджетные трансферты - всего</t>
  </si>
  <si>
    <t>(тыс. рублей)</t>
  </si>
  <si>
    <t>Код бюджетной классификации</t>
  </si>
  <si>
    <t>ВСЕГО межбюджетных трансфертов местным бюджетам</t>
  </si>
  <si>
    <t>Уточненная бюджетная роспись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</si>
  <si>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</si>
  <si>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</si>
  <si>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15106R4670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</si>
  <si>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</si>
  <si>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12301R4970</t>
  </si>
  <si>
    <t>15103R4660</t>
  </si>
  <si>
    <t>24202R0270</t>
  </si>
  <si>
    <t>15102R5190</t>
  </si>
  <si>
    <t>15106R5190</t>
  </si>
  <si>
    <t>19703R5150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</si>
  <si>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</si>
  <si>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14207R2550</t>
  </si>
  <si>
    <t>Государственная поддержка малого и среднего предпринимательства в субъектах Российской Федерации</t>
  </si>
  <si>
    <t>032I555270</t>
  </si>
  <si>
    <t>Государственная поддержка отрасли культуры</t>
  </si>
  <si>
    <t>151A155190</t>
  </si>
  <si>
    <t>Мероприятия государственной программы Российской Федерации "Доступная среда"</t>
  </si>
  <si>
    <t>Мероприятия по переселению граждан из ветхого и аварийного жилья в зоне Байкало-Амурской магистрали</t>
  </si>
  <si>
    <t>Мероприятия по переселению граждан из не предназначенных для проживания строений, созданных в период промышленного освоения Сибири и Дальнего Востока</t>
  </si>
  <si>
    <t>28301R1780</t>
  </si>
  <si>
    <t>Модернизация и закрытие котельных с их переводом на централизованное теплоснабжение</t>
  </si>
  <si>
    <t>082G474508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</si>
  <si>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</si>
  <si>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Модернизация региональных и муниципальных детских школ искусств по видам искусств</t>
  </si>
  <si>
    <t>15105R3060</t>
  </si>
  <si>
    <t>Обеспечение основных требований действующего законодательства в области антитеррористической безопасности образовательных организаций</t>
  </si>
  <si>
    <t>1410671440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</si>
  <si>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</si>
  <si>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Осуществление городским округом "Город Чита" функций административного центра (столицы) Забайкальского края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</si>
  <si>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</si>
  <si>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</si>
  <si>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Поддержка экономического и социального развития коренных малочисленных народов Севера, Сибири и Дальнего Востока</t>
  </si>
  <si>
    <t>Проектирование и строительство троллейбусных линий</t>
  </si>
  <si>
    <t>131G474506</t>
  </si>
  <si>
    <t>Развитие транспортной инфраструктуры на сельских территориях</t>
  </si>
  <si>
    <t>32301R3720</t>
  </si>
  <si>
    <t>Разработка проектно-сметной документации и (или) строительство объектов нецентрализованного питьевого водоснабжения, находящихся в муниципальной собственности</t>
  </si>
  <si>
    <t>2720274103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</si>
  <si>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</si>
  <si>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Реализация мероприятий по комплексному развитию сельских территорий</t>
  </si>
  <si>
    <t>32101R5760</t>
  </si>
  <si>
    <t>32201R5760</t>
  </si>
  <si>
    <t>32302R5760</t>
  </si>
  <si>
    <t>32303R5760</t>
  </si>
  <si>
    <t>Реализация мероприятий по ликвидации мест несанкционированного размещения отходов</t>
  </si>
  <si>
    <t>0820177264</t>
  </si>
  <si>
    <t>Реализация мероприятий по обеспечению жильем молодых семей</t>
  </si>
  <si>
    <t>Реализация мероприятий по укреплению единства российской нации и этнокультурному развитию народов России</t>
  </si>
  <si>
    <t>19702R5160</t>
  </si>
  <si>
    <t>Реализация мероприятий федеральной целевой программы "Увековечение памяти погибших при защите Отечества на 2019-2024 годы"</t>
  </si>
  <si>
    <t>31203R2990</t>
  </si>
  <si>
    <t>Реализация программ формирования современной городской среды</t>
  </si>
  <si>
    <t>291F255550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</si>
  <si>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</si>
  <si>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142E250970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</si>
  <si>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</si>
  <si>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141P252320</t>
  </si>
  <si>
    <t>Создание центров цифрового образования детей</t>
  </si>
  <si>
    <t>145E452190</t>
  </si>
  <si>
    <t>Субсидии бюджетам муниципальных районов и городских округов в целях софинансирования расходных обязательств бюджета муниципального района (городского округа) по оплате труда работников учреждений бюджетной сферы, финансируемых за счет средств муниципального района (городского округа)</t>
  </si>
  <si>
    <t>0130278180</t>
  </si>
  <si>
    <t>2710174102</t>
  </si>
  <si>
    <t>Субсидии на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</si>
  <si>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2420172270</t>
  </si>
  <si>
    <t>Субсидии на развитие социальной инфраструктуры городского поселения "Город Краснокаменск" и муниципального района "Город Краснокаменск и Краснокаменский район"</t>
  </si>
  <si>
    <t>1210274770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</si>
  <si>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</si>
  <si>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Субсидия на реализацию мероприятий по осуществлению расходов, связанных с созданием центров цифрового образования детей</t>
  </si>
  <si>
    <t>145E471442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</si>
  <si>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</si>
  <si>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Финансовое обеспечение мероприятий федеральной целевой программы "Развитие физической культуры и спорта в Российской Федерации на 2016-2020 годы"</t>
  </si>
  <si>
    <t>184P554950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</si>
  <si>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</si>
  <si>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</si>
  <si>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</si>
  <si>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05Д0279263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</si>
  <si>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</si>
  <si>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</si>
  <si>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</si>
  <si>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1410171201</t>
  </si>
  <si>
    <t>1420171201</t>
  </si>
  <si>
    <t>Обеспечение льготным питанием детей из малоимущих семей, обучающихся в муниципальных общеобразовательных организациях Забайкальского края</t>
  </si>
  <si>
    <t>1420371218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</si>
  <si>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</si>
  <si>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1430271432</t>
  </si>
  <si>
    <t>Организация проведения мероприятий по содержанию безнадзорных животных</t>
  </si>
  <si>
    <t>05Д0277263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</si>
  <si>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</si>
  <si>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8800079214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</si>
  <si>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</si>
  <si>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</si>
  <si>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</si>
  <si>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</si>
  <si>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государственного полномочия по созданию административных комиссий в Забайкальском крае</t>
  </si>
  <si>
    <t>8800079207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</si>
  <si>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</si>
  <si>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</si>
  <si>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</si>
  <si>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</si>
  <si>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</si>
  <si>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</si>
  <si>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</si>
  <si>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</si>
  <si>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</si>
  <si>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</si>
  <si>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</si>
  <si>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1310379227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</si>
  <si>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</si>
  <si>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</si>
  <si>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</si>
  <si>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</si>
  <si>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</si>
  <si>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</si>
  <si>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</si>
  <si>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</si>
  <si>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</si>
  <si>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1730574580</t>
  </si>
  <si>
    <t>Проведение Всероссийской переписи населения 2020 года</t>
  </si>
  <si>
    <t>8800054690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</si>
  <si>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</si>
  <si>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</si>
  <si>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</si>
  <si>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</si>
  <si>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Иные межбюджетные трансферты на организацию и проведение конкурса на лучшую организацию сферы жилищно-коммунального хозяйства Забайкальского края</t>
  </si>
  <si>
    <t>2730374303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</si>
  <si>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</si>
  <si>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</si>
  <si>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округов)</t>
  </si>
  <si>
    <t>133065505М</t>
  </si>
  <si>
    <t>151085505М</t>
  </si>
  <si>
    <t>184015505М</t>
  </si>
  <si>
    <t>291045505М</t>
  </si>
  <si>
    <t>15108Ц505М</t>
  </si>
  <si>
    <t>18401Ц505М</t>
  </si>
  <si>
    <t>29104Ц505М</t>
  </si>
  <si>
    <t>Резервные фонды исполнительных органов государственной власти субъекта Российской Федерации</t>
  </si>
  <si>
    <t>8800000704</t>
  </si>
  <si>
    <t>Создание виртуальных концертных залов</t>
  </si>
  <si>
    <t>151A354530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</si>
  <si>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</si>
  <si>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133R153930</t>
  </si>
  <si>
    <t xml:space="preserve">% исполнения </t>
  </si>
  <si>
    <t>7=6/5</t>
  </si>
  <si>
    <t>Сводные данные о расходах бюджета субъекта Российской Федерации на предоставление межбюджетных трансфертов бюджетам муниципальных образований по состоянию на 01.04.2020 г.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</si>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</sst>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/>
    <xf numFmtId="0" fontId="1" fillId="0" borderId="2">
      <alignment horizontal="center" vertical="center" shrinkToFit="1"/>
    </xf>
    <xf numFmtId="49" fontId="1" fillId="0" borderId="2">
      <alignment horizontal="left" vertical="top" wrapText="1"/>
    </xf>
    <xf numFmtId="4" fontId="1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0" fontId="1" fillId="0" borderId="4"/>
    <xf numFmtId="0" fontId="1" fillId="0" borderId="1">
      <alignment horizontal="left"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4"/>
    <xf numFmtId="0" fontId="1" fillId="4" borderId="6"/>
    <xf numFmtId="0" fontId="1" fillId="4" borderId="6">
      <alignment horizontal="center"/>
    </xf>
    <xf numFmtId="0" fontId="1" fillId="4" borderId="1">
      <alignment horizontal="center"/>
    </xf>
    <xf numFmtId="4" fontId="1" fillId="0" borderId="2">
      <alignment horizontal="right" vertical="top" shrinkToFit="1"/>
    </xf>
    <xf numFmtId="49" fontId="3" fillId="0" borderId="2">
      <alignment horizontal="left" vertical="top" wrapText="1"/>
    </xf>
    <xf numFmtId="0" fontId="1" fillId="4" borderId="1">
      <alignment horizontal="left"/>
    </xf>
    <xf numFmtId="4" fontId="1" fillId="0" borderId="3">
      <alignment horizontal="right" shrinkToFit="1"/>
    </xf>
    <xf numFmtId="4" fontId="1" fillId="0" borderId="1">
      <alignment horizontal="right" shrinkToFit="1"/>
    </xf>
    <xf numFmtId="0" fontId="1" fillId="4" borderId="4">
      <alignment horizontal="center"/>
    </xf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4" applyNumberFormat="1" applyAlignment="1" applyProtection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2" applyNumberFormat="1" applyAlignment="1" applyProtection="1">
      <alignment vertical="center"/>
    </xf>
    <xf numFmtId="0" fontId="1" fillId="0" borderId="4" xfId="14" applyNumberFormat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8" fillId="5" borderId="2" xfId="9" applyNumberFormat="1" applyFont="1" applyFill="1" applyAlignment="1" applyProtection="1">
      <alignment horizontal="center" vertical="center" shrinkToFit="1"/>
    </xf>
    <xf numFmtId="0" fontId="8" fillId="5" borderId="8" xfId="9" applyNumberFormat="1" applyFont="1" applyFill="1" applyBorder="1" applyAlignment="1" applyProtection="1">
      <alignment horizontal="center" vertical="center" shrinkToFit="1"/>
    </xf>
    <xf numFmtId="0" fontId="8" fillId="5" borderId="7" xfId="8" applyNumberFormat="1" applyFont="1" applyFill="1" applyBorder="1" applyAlignment="1" applyProtection="1">
      <alignment horizontal="center" vertical="center"/>
    </xf>
    <xf numFmtId="0" fontId="8" fillId="5" borderId="7" xfId="2" applyNumberFormat="1" applyFont="1" applyFill="1" applyBorder="1" applyAlignment="1" applyProtection="1">
      <alignment horizontal="center" vertical="center"/>
    </xf>
    <xf numFmtId="0" fontId="8" fillId="5" borderId="2" xfId="10" applyNumberFormat="1" applyFont="1" applyFill="1" applyAlignment="1" applyProtection="1">
      <alignment horizontal="left" vertical="center" wrapText="1"/>
    </xf>
    <xf numFmtId="49" fontId="8" fillId="5" borderId="2" xfId="10" applyFont="1" applyFill="1" applyAlignment="1" applyProtection="1">
      <alignment horizontal="center" vertical="center" wrapText="1"/>
    </xf>
    <xf numFmtId="0" fontId="9" fillId="5" borderId="2" xfId="10" applyNumberFormat="1" applyFont="1" applyFill="1" applyAlignment="1" applyProtection="1">
      <alignment horizontal="left" vertical="center" wrapText="1"/>
    </xf>
    <xf numFmtId="49" fontId="9" fillId="5" borderId="2" xfId="10" applyFont="1" applyFill="1" applyAlignment="1" applyProtection="1">
      <alignment horizontal="center" vertical="center" wrapText="1"/>
    </xf>
    <xf numFmtId="0" fontId="9" fillId="5" borderId="2" xfId="12" applyNumberFormat="1" applyFont="1" applyFill="1" applyAlignment="1" applyProtection="1">
      <alignment horizontal="left" vertical="center"/>
    </xf>
    <xf numFmtId="0" fontId="8" fillId="5" borderId="1" xfId="6" applyNumberFormat="1" applyFont="1" applyFill="1" applyAlignment="1" applyProtection="1">
      <alignment horizontal="center" vertical="center"/>
    </xf>
    <xf numFmtId="164" fontId="8" fillId="5" borderId="7" xfId="8" applyNumberFormat="1" applyFont="1" applyFill="1" applyBorder="1" applyAlignment="1" applyProtection="1">
      <alignment horizontal="center" vertical="center"/>
    </xf>
    <xf numFmtId="164" fontId="8" fillId="5" borderId="7" xfId="2" applyNumberFormat="1" applyFont="1" applyFill="1" applyBorder="1" applyAlignment="1" applyProtection="1">
      <alignment horizontal="center" vertical="center"/>
    </xf>
    <xf numFmtId="164" fontId="9" fillId="5" borderId="7" xfId="2" applyNumberFormat="1" applyFont="1" applyFill="1" applyBorder="1" applyAlignment="1" applyProtection="1">
      <alignment horizontal="center" vertical="center"/>
    </xf>
    <xf numFmtId="0" fontId="1" fillId="0" borderId="1" xfId="2" applyNumberFormat="1" applyAlignment="1" applyProtection="1">
      <alignment horizontal="center" vertical="center"/>
    </xf>
    <xf numFmtId="0" fontId="1" fillId="5" borderId="1" xfId="2" applyNumberFormat="1" applyFill="1" applyAlignment="1" applyProtection="1">
      <alignment horizontal="center" vertical="center"/>
    </xf>
    <xf numFmtId="164" fontId="1" fillId="0" borderId="1" xfId="2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4" fontId="12" fillId="0" borderId="0" xfId="0" applyNumberFormat="1" applyFont="1"/>
    <xf numFmtId="4" fontId="0" fillId="0" borderId="0" xfId="0" applyNumberFormat="1" applyAlignment="1" applyProtection="1">
      <alignment horizontal="center" vertical="center"/>
      <protection locked="0"/>
    </xf>
    <xf numFmtId="43" fontId="0" fillId="0" borderId="0" xfId="33" applyFont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49" fontId="9" fillId="0" borderId="2" xfId="10" applyFont="1" applyFill="1" applyAlignment="1" applyProtection="1">
      <alignment horizontal="left" vertical="center" wrapText="1"/>
    </xf>
    <xf numFmtId="49" fontId="8" fillId="0" borderId="2" xfId="10" applyFont="1" applyFill="1" applyAlignment="1" applyProtection="1">
      <alignment horizontal="left" vertical="center" wrapText="1"/>
    </xf>
    <xf numFmtId="164" fontId="9" fillId="0" borderId="7" xfId="8" applyNumberFormat="1" applyFont="1" applyFill="1" applyBorder="1" applyAlignment="1" applyProtection="1">
      <alignment horizontal="center" vertical="center"/>
    </xf>
    <xf numFmtId="0" fontId="8" fillId="0" borderId="2" xfId="10" applyNumberFormat="1" applyFont="1" applyFill="1" applyAlignment="1" applyProtection="1">
      <alignment horizontal="left" vertical="center" wrapText="1"/>
    </xf>
    <xf numFmtId="49" fontId="8" fillId="0" borderId="2" xfId="10" applyFont="1" applyFill="1" applyAlignment="1" applyProtection="1">
      <alignment horizontal="center" vertical="center" wrapText="1"/>
    </xf>
    <xf numFmtId="164" fontId="8" fillId="0" borderId="7" xfId="8" applyNumberFormat="1" applyFont="1" applyFill="1" applyBorder="1" applyAlignment="1" applyProtection="1">
      <alignment horizontal="center" vertical="center"/>
    </xf>
    <xf numFmtId="164" fontId="8" fillId="0" borderId="7" xfId="2" applyNumberFormat="1" applyFont="1" applyFill="1" applyBorder="1" applyAlignment="1" applyProtection="1">
      <alignment horizontal="center" vertical="center"/>
    </xf>
    <xf numFmtId="0" fontId="9" fillId="0" borderId="2" xfId="10" applyNumberFormat="1" applyFont="1" applyFill="1" applyAlignment="1" applyProtection="1">
      <alignment horizontal="left" vertical="center" wrapText="1"/>
    </xf>
    <xf numFmtId="49" fontId="9" fillId="0" borderId="2" xfId="10" applyFont="1" applyFill="1" applyAlignment="1" applyProtection="1">
      <alignment horizontal="center" vertical="center" wrapText="1"/>
    </xf>
    <xf numFmtId="164" fontId="9" fillId="0" borderId="7" xfId="2" applyNumberFormat="1" applyFont="1" applyFill="1" applyBorder="1" applyAlignment="1" applyProtection="1">
      <alignment horizontal="center" vertical="center"/>
    </xf>
    <xf numFmtId="0" fontId="8" fillId="0" borderId="9" xfId="10" applyNumberFormat="1" applyFont="1" applyFill="1" applyBorder="1" applyAlignment="1" applyProtection="1">
      <alignment horizontal="left" vertical="center" wrapText="1"/>
    </xf>
    <xf numFmtId="0" fontId="8" fillId="0" borderId="7" xfId="10" applyNumberFormat="1" applyFont="1" applyFill="1" applyBorder="1" applyAlignment="1" applyProtection="1">
      <alignment vertical="center" wrapText="1"/>
    </xf>
    <xf numFmtId="49" fontId="8" fillId="0" borderId="11" xfId="10" applyFont="1" applyFill="1" applyBorder="1" applyAlignment="1" applyProtection="1">
      <alignment horizontal="center" vertical="center" wrapText="1"/>
    </xf>
    <xf numFmtId="164" fontId="11" fillId="0" borderId="7" xfId="8" applyNumberFormat="1" applyFont="1" applyFill="1" applyBorder="1" applyAlignment="1" applyProtection="1">
      <alignment horizontal="center" vertical="center"/>
    </xf>
    <xf numFmtId="0" fontId="8" fillId="0" borderId="10" xfId="10" applyNumberFormat="1" applyFont="1" applyFill="1" applyBorder="1" applyAlignment="1" applyProtection="1">
      <alignment horizontal="left" vertical="center" wrapText="1"/>
    </xf>
    <xf numFmtId="49" fontId="8" fillId="0" borderId="6" xfId="10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center" vertical="center"/>
      <protection locked="0" hidden="1"/>
    </xf>
    <xf numFmtId="0" fontId="8" fillId="5" borderId="9" xfId="10" applyNumberFormat="1" applyFont="1" applyFill="1" applyBorder="1" applyAlignment="1" applyProtection="1">
      <alignment horizontal="left" vertical="top" wrapText="1"/>
    </xf>
    <xf numFmtId="0" fontId="8" fillId="5" borderId="13" xfId="10" applyNumberFormat="1" applyFont="1" applyFill="1" applyBorder="1" applyAlignment="1" applyProtection="1">
      <alignment horizontal="left" vertical="top" wrapText="1"/>
    </xf>
    <xf numFmtId="0" fontId="8" fillId="5" borderId="10" xfId="10" applyNumberFormat="1" applyFont="1" applyFill="1" applyBorder="1" applyAlignment="1" applyProtection="1">
      <alignment horizontal="left" vertical="top" wrapText="1"/>
    </xf>
    <xf numFmtId="0" fontId="10" fillId="0" borderId="1" xfId="3" applyNumberFormat="1" applyFont="1" applyAlignment="1" applyProtection="1">
      <alignment horizontal="center" vertical="center" wrapText="1"/>
    </xf>
    <xf numFmtId="0" fontId="7" fillId="0" borderId="1" xfId="4" applyNumberFormat="1" applyFont="1" applyAlignment="1" applyProtection="1">
      <alignment horizontal="center" vertical="center"/>
    </xf>
    <xf numFmtId="0" fontId="8" fillId="5" borderId="1" xfId="6" applyNumberFormat="1" applyFont="1" applyFill="1" applyAlignment="1" applyProtection="1">
      <alignment horizontal="right" vertical="center"/>
    </xf>
    <xf numFmtId="0" fontId="8" fillId="5" borderId="1" xfId="6" applyFont="1" applyFill="1" applyAlignment="1" applyProtection="1">
      <alignment horizontal="right" vertical="center"/>
      <protection locked="0"/>
    </xf>
    <xf numFmtId="0" fontId="8" fillId="5" borderId="2" xfId="7" applyNumberFormat="1" applyFont="1" applyFill="1" applyAlignment="1" applyProtection="1">
      <alignment horizontal="center" vertical="center" wrapText="1"/>
    </xf>
    <xf numFmtId="0" fontId="8" fillId="5" borderId="2" xfId="7" applyFont="1" applyFill="1" applyAlignment="1" applyProtection="1">
      <alignment horizontal="center" vertical="center" wrapText="1"/>
      <protection locked="0"/>
    </xf>
    <xf numFmtId="0" fontId="8" fillId="5" borderId="9" xfId="7" applyFont="1" applyFill="1" applyBorder="1" applyAlignment="1" applyProtection="1">
      <alignment horizontal="center" vertical="center" wrapText="1"/>
      <protection locked="0"/>
    </xf>
    <xf numFmtId="0" fontId="8" fillId="0" borderId="9" xfId="10" applyNumberFormat="1" applyFont="1" applyFill="1" applyBorder="1" applyAlignment="1" applyProtection="1">
      <alignment horizontal="left" vertical="center" wrapText="1"/>
    </xf>
    <xf numFmtId="0" fontId="8" fillId="0" borderId="10" xfId="10" applyNumberFormat="1" applyFont="1" applyFill="1" applyBorder="1" applyAlignment="1" applyProtection="1">
      <alignment horizontal="left" vertical="center" wrapText="1"/>
    </xf>
    <xf numFmtId="0" fontId="8" fillId="0" borderId="12" xfId="10" applyNumberFormat="1" applyFont="1" applyFill="1" applyBorder="1" applyAlignment="1" applyProtection="1">
      <alignment horizontal="left" vertical="center" wrapText="1"/>
    </xf>
    <xf numFmtId="0" fontId="8" fillId="0" borderId="13" xfId="10" applyNumberFormat="1" applyFont="1" applyFill="1" applyBorder="1" applyAlignment="1" applyProtection="1">
      <alignment horizontal="left" vertical="center" wrapText="1"/>
    </xf>
    <xf numFmtId="0" fontId="8" fillId="5" borderId="8" xfId="7" applyNumberFormat="1" applyFont="1" applyFill="1" applyBorder="1" applyAlignment="1" applyProtection="1">
      <alignment horizontal="center" vertical="center" wrapText="1"/>
    </xf>
    <xf numFmtId="0" fontId="8" fillId="5" borderId="14" xfId="7" applyFont="1" applyFill="1" applyBorder="1" applyAlignment="1" applyProtection="1">
      <alignment horizontal="center" vertical="center" wrapText="1"/>
      <protection locked="0"/>
    </xf>
    <xf numFmtId="0" fontId="8" fillId="5" borderId="15" xfId="2" applyNumberFormat="1" applyFont="1" applyFill="1" applyBorder="1" applyAlignment="1" applyProtection="1">
      <alignment horizontal="center" vertical="center"/>
    </xf>
    <xf numFmtId="164" fontId="9" fillId="0" borderId="15" xfId="8" applyNumberFormat="1" applyFont="1" applyFill="1" applyBorder="1" applyAlignment="1" applyProtection="1">
      <alignment horizontal="center" vertical="center"/>
    </xf>
    <xf numFmtId="164" fontId="8" fillId="0" borderId="15" xfId="2" applyNumberFormat="1" applyFont="1" applyFill="1" applyBorder="1" applyAlignment="1" applyProtection="1">
      <alignment horizontal="center" vertical="center"/>
    </xf>
    <xf numFmtId="164" fontId="9" fillId="0" borderId="15" xfId="2" applyNumberFormat="1" applyFont="1" applyFill="1" applyBorder="1" applyAlignment="1" applyProtection="1">
      <alignment horizontal="center" vertical="center"/>
    </xf>
    <xf numFmtId="164" fontId="9" fillId="5" borderId="15" xfId="2" applyNumberFormat="1" applyFont="1" applyFill="1" applyBorder="1" applyAlignment="1" applyProtection="1">
      <alignment horizontal="center" vertical="center"/>
    </xf>
    <xf numFmtId="164" fontId="8" fillId="5" borderId="15" xfId="2" applyNumberFormat="1" applyFont="1" applyFill="1" applyBorder="1" applyAlignment="1" applyProtection="1">
      <alignment horizontal="center" vertical="center"/>
    </xf>
    <xf numFmtId="0" fontId="8" fillId="5" borderId="7" xfId="7" applyNumberFormat="1" applyFont="1" applyFill="1" applyBorder="1" applyAlignment="1" applyProtection="1">
      <alignment horizontal="center" vertical="center" wrapText="1"/>
    </xf>
    <xf numFmtId="0" fontId="8" fillId="5" borderId="7" xfId="7" applyFont="1" applyFill="1" applyBorder="1" applyAlignment="1" applyProtection="1">
      <alignment horizontal="center" vertical="center" wrapText="1"/>
      <protection locked="0"/>
    </xf>
  </cellXfs>
  <cellStyles count="34">
    <cellStyle name="br" xfId="18"/>
    <cellStyle name="col" xfId="17"/>
    <cellStyle name="style0" xfId="19"/>
    <cellStyle name="td" xfId="20"/>
    <cellStyle name="tr" xfId="16"/>
    <cellStyle name="xl21" xfId="21"/>
    <cellStyle name="xl22" xfId="1"/>
    <cellStyle name="xl23" xfId="2"/>
    <cellStyle name="xl24" xfId="3"/>
    <cellStyle name="xl25" xfId="4"/>
    <cellStyle name="xl26" xfId="5"/>
    <cellStyle name="xl27" xfId="6"/>
    <cellStyle name="xl28" xfId="22"/>
    <cellStyle name="xl29" xfId="7"/>
    <cellStyle name="xl30" xfId="8"/>
    <cellStyle name="xl31" xfId="9"/>
    <cellStyle name="xl32" xfId="23"/>
    <cellStyle name="xl33" xfId="12"/>
    <cellStyle name="xl34" xfId="13"/>
    <cellStyle name="xl35" xfId="24"/>
    <cellStyle name="xl36" xfId="14"/>
    <cellStyle name="xl37" xfId="15"/>
    <cellStyle name="xl38" xfId="10"/>
    <cellStyle name="xl39" xfId="11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Обычный" xfId="0" builtinId="0"/>
    <cellStyle name="Финансовый" xfId="33" builtinId="3"/>
  </cellStyles>
  <dxfs count="0"/>
  <tableStyles count="0"/>
  <colors>
    <mruColors>
      <color rgb="FF99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9"/>
  <sheetViews>
    <sheetView showGridLines="0" tabSelected="1" zoomScaleNormal="100" zoomScaleSheetLayoutView="100" workbookViewId="0">
      <pane ySplit="6" topLeftCell="A7" activePane="bottomLeft" state="frozen"/>
      <selection pane="bottomLeft" sqref="A1:G1"/>
    </sheetView>
  </sheetViews>
  <sheetFormatPr defaultColWidth="9.140625" defaultRowHeight="15" outlineLevelRow="1" x14ac:dyDescent="0.25"/>
  <cols>
    <col min="1" max="1" width="49.85546875" style="2" customWidth="1"/>
    <col min="2" max="2" width="20.7109375" style="2" customWidth="1"/>
    <col min="3" max="3" width="18.5703125" style="22" customWidth="1"/>
    <col min="4" max="4" width="18.5703125" style="23" customWidth="1"/>
    <col min="5" max="5" width="21" style="22" customWidth="1"/>
    <col min="6" max="6" width="12" style="22" customWidth="1"/>
    <col min="7" max="7" width="12" style="2" customWidth="1"/>
    <col min="8" max="16384" width="9.140625" style="2"/>
  </cols>
  <sheetData>
    <row r="1" spans="1:7" ht="46.5" customHeight="1" x14ac:dyDescent="0.25">
      <c r="A1" s="48" t="s">
        <v>167</v>
      </c>
      <c r="B1" s="48"/>
      <c r="C1" s="48"/>
      <c r="D1" s="48"/>
      <c r="E1" s="48"/>
      <c r="F1" s="48"/>
      <c r="G1" s="48"/>
    </row>
    <row r="2" spans="1:7" ht="15.75" x14ac:dyDescent="0.25">
      <c r="A2" s="49"/>
      <c r="B2" s="49"/>
      <c r="C2" s="49"/>
      <c r="D2" s="49"/>
      <c r="E2" s="49"/>
      <c r="F2" s="49"/>
      <c r="G2" s="1"/>
    </row>
    <row r="3" spans="1:7" x14ac:dyDescent="0.25">
      <c r="A3" s="50"/>
      <c r="B3" s="51"/>
      <c r="C3" s="15"/>
      <c r="D3" s="15"/>
      <c r="E3" s="15"/>
      <c r="G3" s="15" t="s">
        <v>20</v>
      </c>
    </row>
    <row r="4" spans="1:7" ht="15" customHeight="1" x14ac:dyDescent="0.25">
      <c r="A4" s="52" t="s">
        <v>0</v>
      </c>
      <c r="B4" s="52" t="s">
        <v>21</v>
      </c>
      <c r="C4" s="52" t="s">
        <v>1</v>
      </c>
      <c r="D4" s="52" t="s">
        <v>2</v>
      </c>
      <c r="E4" s="52" t="s">
        <v>23</v>
      </c>
      <c r="F4" s="59" t="s">
        <v>3</v>
      </c>
      <c r="G4" s="67" t="s">
        <v>165</v>
      </c>
    </row>
    <row r="5" spans="1:7" ht="57" customHeight="1" x14ac:dyDescent="0.25">
      <c r="A5" s="53"/>
      <c r="B5" s="53"/>
      <c r="C5" s="54"/>
      <c r="D5" s="54"/>
      <c r="E5" s="54"/>
      <c r="F5" s="60"/>
      <c r="G5" s="68"/>
    </row>
    <row r="6" spans="1:7" x14ac:dyDescent="0.25">
      <c r="A6" s="6">
        <v>1</v>
      </c>
      <c r="B6" s="7">
        <v>2</v>
      </c>
      <c r="C6" s="8">
        <v>3</v>
      </c>
      <c r="D6" s="8">
        <v>4</v>
      </c>
      <c r="E6" s="9">
        <v>5</v>
      </c>
      <c r="F6" s="61">
        <v>6</v>
      </c>
      <c r="G6" s="9" t="s">
        <v>166</v>
      </c>
    </row>
    <row r="7" spans="1:7" s="27" customFormat="1" x14ac:dyDescent="0.25">
      <c r="A7" s="28" t="s">
        <v>4</v>
      </c>
      <c r="B7" s="29"/>
      <c r="C7" s="30">
        <f>SUM(C8:C10)</f>
        <v>4689492.0999999996</v>
      </c>
      <c r="D7" s="30">
        <f>SUM(D8:D10)</f>
        <v>4671713.3</v>
      </c>
      <c r="E7" s="30">
        <f>SUM(E8:E10)</f>
        <v>4671713.3</v>
      </c>
      <c r="F7" s="62">
        <f>SUM(F8:F10)</f>
        <v>1572220.46</v>
      </c>
      <c r="G7" s="37">
        <f>F7/E7*100</f>
        <v>33.654044223989516</v>
      </c>
    </row>
    <row r="8" spans="1:7" s="27" customFormat="1" ht="25.5" outlineLevel="1" x14ac:dyDescent="0.25">
      <c r="A8" s="31" t="s">
        <v>5</v>
      </c>
      <c r="B8" s="32" t="s">
        <v>6</v>
      </c>
      <c r="C8" s="33">
        <f>4490537100/1000</f>
        <v>4490537.0999999996</v>
      </c>
      <c r="D8" s="34">
        <f>4490537100/1000</f>
        <v>4490537.0999999996</v>
      </c>
      <c r="E8" s="34">
        <f>D8</f>
        <v>4490537.0999999996</v>
      </c>
      <c r="F8" s="63">
        <f>1564535460/1000</f>
        <v>1564535.46</v>
      </c>
      <c r="G8" s="34">
        <f t="shared" ref="G8:G71" si="0">F8/E8*100</f>
        <v>34.840720055514076</v>
      </c>
    </row>
    <row r="9" spans="1:7" s="27" customFormat="1" ht="38.25" outlineLevel="1" x14ac:dyDescent="0.25">
      <c r="A9" s="31" t="s">
        <v>7</v>
      </c>
      <c r="B9" s="32" t="s">
        <v>8</v>
      </c>
      <c r="C9" s="33">
        <f>168214000/1000</f>
        <v>168214</v>
      </c>
      <c r="D9" s="34">
        <f>150435200/1000</f>
        <v>150435.20000000001</v>
      </c>
      <c r="E9" s="34">
        <f t="shared" ref="E9:E10" si="1">D9</f>
        <v>150435.20000000001</v>
      </c>
      <c r="F9" s="63">
        <v>0</v>
      </c>
      <c r="G9" s="34">
        <f t="shared" si="0"/>
        <v>0</v>
      </c>
    </row>
    <row r="10" spans="1:7" s="27" customFormat="1" ht="38.25" outlineLevel="1" x14ac:dyDescent="0.25">
      <c r="A10" s="31" t="s">
        <v>9</v>
      </c>
      <c r="B10" s="32" t="s">
        <v>10</v>
      </c>
      <c r="C10" s="33">
        <f>30741000/1000</f>
        <v>30741</v>
      </c>
      <c r="D10" s="34">
        <f>30741000/1000</f>
        <v>30741</v>
      </c>
      <c r="E10" s="34">
        <f t="shared" si="1"/>
        <v>30741</v>
      </c>
      <c r="F10" s="63">
        <f>7685000/1000</f>
        <v>7685</v>
      </c>
      <c r="G10" s="34">
        <f t="shared" si="0"/>
        <v>24.999186753846654</v>
      </c>
    </row>
    <row r="11" spans="1:7" s="27" customFormat="1" x14ac:dyDescent="0.25">
      <c r="A11" s="35" t="s">
        <v>11</v>
      </c>
      <c r="B11" s="36"/>
      <c r="C11" s="37">
        <f>SUM(C12:C52)</f>
        <v>2922639.9800000004</v>
      </c>
      <c r="D11" s="37">
        <f>SUM(D12:D52)</f>
        <v>4571549.9272800004</v>
      </c>
      <c r="E11" s="37">
        <f>SUM(E12:E52)</f>
        <v>4571549.9272800004</v>
      </c>
      <c r="F11" s="64">
        <f>SUM(F12:F52)</f>
        <v>3044.2</v>
      </c>
      <c r="G11" s="37">
        <f t="shared" si="0"/>
        <v>6.6590107259558037E-2</v>
      </c>
    </row>
    <row r="12" spans="1:7" s="27" customFormat="1" ht="57.6" customHeight="1" outlineLevel="1" x14ac:dyDescent="0.25">
      <c r="A12" s="31" t="s">
        <v>34</v>
      </c>
      <c r="B12" s="32" t="s">
        <v>35</v>
      </c>
      <c r="C12" s="33">
        <v>0</v>
      </c>
      <c r="D12" s="34">
        <f>606953100/1000</f>
        <v>606953.1</v>
      </c>
      <c r="E12" s="34">
        <f>D12</f>
        <v>606953.1</v>
      </c>
      <c r="F12" s="63">
        <v>0</v>
      </c>
      <c r="G12" s="34">
        <f t="shared" si="0"/>
        <v>0</v>
      </c>
    </row>
    <row r="13" spans="1:7" s="27" customFormat="1" ht="35.450000000000003" customHeight="1" outlineLevel="1" x14ac:dyDescent="0.25">
      <c r="A13" s="31" t="s">
        <v>36</v>
      </c>
      <c r="B13" s="32" t="s">
        <v>37</v>
      </c>
      <c r="C13" s="33">
        <v>0</v>
      </c>
      <c r="D13" s="34">
        <f>3266000/1000</f>
        <v>3266</v>
      </c>
      <c r="E13" s="34">
        <f t="shared" ref="E13:E52" si="2">D13</f>
        <v>3266</v>
      </c>
      <c r="F13" s="63">
        <v>0</v>
      </c>
      <c r="G13" s="34">
        <f t="shared" si="0"/>
        <v>0</v>
      </c>
    </row>
    <row r="14" spans="1:7" s="27" customFormat="1" ht="28.5" customHeight="1" outlineLevel="1" x14ac:dyDescent="0.25">
      <c r="A14" s="31" t="s">
        <v>38</v>
      </c>
      <c r="B14" s="32" t="s">
        <v>39</v>
      </c>
      <c r="C14" s="33">
        <f>143911100/1000</f>
        <v>143911.1</v>
      </c>
      <c r="D14" s="34">
        <f>143911079.07/1000</f>
        <v>143911.07907000001</v>
      </c>
      <c r="E14" s="34">
        <f t="shared" si="2"/>
        <v>143911.07907000001</v>
      </c>
      <c r="F14" s="63">
        <v>0</v>
      </c>
      <c r="G14" s="34">
        <f t="shared" si="0"/>
        <v>0</v>
      </c>
    </row>
    <row r="15" spans="1:7" s="27" customFormat="1" ht="36" customHeight="1" outlineLevel="1" x14ac:dyDescent="0.25">
      <c r="A15" s="31" t="s">
        <v>40</v>
      </c>
      <c r="B15" s="32" t="s">
        <v>30</v>
      </c>
      <c r="C15" s="33">
        <f>7141500/1000</f>
        <v>7141.5</v>
      </c>
      <c r="D15" s="34">
        <f>7141500/1000</f>
        <v>7141.5</v>
      </c>
      <c r="E15" s="34">
        <f t="shared" si="2"/>
        <v>7141.5</v>
      </c>
      <c r="F15" s="63">
        <v>0</v>
      </c>
      <c r="G15" s="34">
        <f t="shared" si="0"/>
        <v>0</v>
      </c>
    </row>
    <row r="16" spans="1:7" s="27" customFormat="1" ht="41.45" customHeight="1" outlineLevel="1" x14ac:dyDescent="0.25">
      <c r="A16" s="31" t="s">
        <v>41</v>
      </c>
      <c r="B16" s="32" t="s">
        <v>17</v>
      </c>
      <c r="C16" s="33">
        <f>76077600/1000</f>
        <v>76077.600000000006</v>
      </c>
      <c r="D16" s="34">
        <f>76077600/1000</f>
        <v>76077.600000000006</v>
      </c>
      <c r="E16" s="34">
        <f t="shared" si="2"/>
        <v>76077.600000000006</v>
      </c>
      <c r="F16" s="63">
        <v>0</v>
      </c>
      <c r="G16" s="34">
        <f t="shared" si="0"/>
        <v>0</v>
      </c>
    </row>
    <row r="17" spans="1:7" s="27" customFormat="1" ht="51" outlineLevel="1" x14ac:dyDescent="0.25">
      <c r="A17" s="31" t="s">
        <v>42</v>
      </c>
      <c r="B17" s="32" t="s">
        <v>43</v>
      </c>
      <c r="C17" s="33">
        <f>28596100/1000</f>
        <v>28596.1</v>
      </c>
      <c r="D17" s="34">
        <f>28596100/1000</f>
        <v>28596.1</v>
      </c>
      <c r="E17" s="34">
        <f t="shared" si="2"/>
        <v>28596.1</v>
      </c>
      <c r="F17" s="63">
        <v>0</v>
      </c>
      <c r="G17" s="34">
        <f t="shared" si="0"/>
        <v>0</v>
      </c>
    </row>
    <row r="18" spans="1:7" s="27" customFormat="1" ht="32.450000000000003" customHeight="1" outlineLevel="1" x14ac:dyDescent="0.25">
      <c r="A18" s="31" t="s">
        <v>44</v>
      </c>
      <c r="B18" s="32" t="s">
        <v>45</v>
      </c>
      <c r="C18" s="33">
        <v>0</v>
      </c>
      <c r="D18" s="34">
        <f>8914100/1000</f>
        <v>8914.1</v>
      </c>
      <c r="E18" s="34">
        <f t="shared" si="2"/>
        <v>8914.1</v>
      </c>
      <c r="F18" s="63">
        <v>0</v>
      </c>
      <c r="G18" s="34">
        <f t="shared" si="0"/>
        <v>0</v>
      </c>
    </row>
    <row r="19" spans="1:7" s="27" customFormat="1" ht="46.9" customHeight="1" outlineLevel="1" x14ac:dyDescent="0.25">
      <c r="A19" s="31" t="s">
        <v>46</v>
      </c>
      <c r="B19" s="32" t="s">
        <v>16</v>
      </c>
      <c r="C19" s="33">
        <f>100185000/1000</f>
        <v>100185</v>
      </c>
      <c r="D19" s="34">
        <f>109185000/1000</f>
        <v>109185</v>
      </c>
      <c r="E19" s="34">
        <f t="shared" si="2"/>
        <v>109185</v>
      </c>
      <c r="F19" s="63">
        <v>0</v>
      </c>
      <c r="G19" s="34">
        <f t="shared" si="0"/>
        <v>0</v>
      </c>
    </row>
    <row r="20" spans="1:7" s="27" customFormat="1" ht="30" customHeight="1" outlineLevel="1" x14ac:dyDescent="0.25">
      <c r="A20" s="31" t="s">
        <v>47</v>
      </c>
      <c r="B20" s="32" t="s">
        <v>48</v>
      </c>
      <c r="C20" s="33">
        <v>0</v>
      </c>
      <c r="D20" s="34">
        <f>133034787.24/1000</f>
        <v>133034.78724000001</v>
      </c>
      <c r="E20" s="34">
        <f t="shared" si="2"/>
        <v>133034.78724000001</v>
      </c>
      <c r="F20" s="63">
        <v>0</v>
      </c>
      <c r="G20" s="34">
        <f t="shared" si="0"/>
        <v>0</v>
      </c>
    </row>
    <row r="21" spans="1:7" s="27" customFormat="1" ht="51" customHeight="1" outlineLevel="1" x14ac:dyDescent="0.25">
      <c r="A21" s="31" t="s">
        <v>49</v>
      </c>
      <c r="B21" s="32" t="s">
        <v>50</v>
      </c>
      <c r="C21" s="33">
        <v>0</v>
      </c>
      <c r="D21" s="34">
        <f>374240/1000</f>
        <v>374.24</v>
      </c>
      <c r="E21" s="34">
        <f t="shared" si="2"/>
        <v>374.24</v>
      </c>
      <c r="F21" s="63">
        <v>0</v>
      </c>
      <c r="G21" s="34">
        <f t="shared" si="0"/>
        <v>0</v>
      </c>
    </row>
    <row r="22" spans="1:7" s="27" customFormat="1" ht="43.9" customHeight="1" outlineLevel="1" x14ac:dyDescent="0.25">
      <c r="A22" s="31" t="s">
        <v>51</v>
      </c>
      <c r="B22" s="32" t="s">
        <v>26</v>
      </c>
      <c r="C22" s="33">
        <f>31581600/1000</f>
        <v>31581.599999999999</v>
      </c>
      <c r="D22" s="34">
        <f>31581595.75/1000</f>
        <v>31581.59575</v>
      </c>
      <c r="E22" s="34">
        <f t="shared" si="2"/>
        <v>31581.59575</v>
      </c>
      <c r="F22" s="63">
        <v>0</v>
      </c>
      <c r="G22" s="34">
        <f t="shared" si="0"/>
        <v>0</v>
      </c>
    </row>
    <row r="23" spans="1:7" s="27" customFormat="1" ht="40.9" customHeight="1" outlineLevel="1" x14ac:dyDescent="0.25">
      <c r="A23" s="31" t="s">
        <v>52</v>
      </c>
      <c r="B23" s="32" t="s">
        <v>12</v>
      </c>
      <c r="C23" s="33">
        <f>80000000/1000</f>
        <v>80000</v>
      </c>
      <c r="D23" s="34">
        <f>80000000/1000</f>
        <v>80000</v>
      </c>
      <c r="E23" s="34">
        <f t="shared" si="2"/>
        <v>80000</v>
      </c>
      <c r="F23" s="63">
        <v>0</v>
      </c>
      <c r="G23" s="34">
        <f t="shared" si="0"/>
        <v>0</v>
      </c>
    </row>
    <row r="24" spans="1:7" s="27" customFormat="1" ht="42" customHeight="1" outlineLevel="1" x14ac:dyDescent="0.25">
      <c r="A24" s="31" t="s">
        <v>24</v>
      </c>
      <c r="B24" s="32" t="s">
        <v>25</v>
      </c>
      <c r="C24" s="33">
        <f>11000000/1000</f>
        <v>11000</v>
      </c>
      <c r="D24" s="34">
        <f>11000000/1000</f>
        <v>11000</v>
      </c>
      <c r="E24" s="34">
        <f t="shared" si="2"/>
        <v>11000</v>
      </c>
      <c r="F24" s="63">
        <v>0</v>
      </c>
      <c r="G24" s="34">
        <f t="shared" si="0"/>
        <v>0</v>
      </c>
    </row>
    <row r="25" spans="1:7" s="27" customFormat="1" outlineLevel="1" x14ac:dyDescent="0.25">
      <c r="A25" s="55" t="s">
        <v>53</v>
      </c>
      <c r="B25" s="32" t="s">
        <v>31</v>
      </c>
      <c r="C25" s="33">
        <f>2158500/1000</f>
        <v>2158.5</v>
      </c>
      <c r="D25" s="34">
        <f>2158473.95/1000</f>
        <v>2158.4739500000001</v>
      </c>
      <c r="E25" s="34">
        <f t="shared" si="2"/>
        <v>2158.4739500000001</v>
      </c>
      <c r="F25" s="63">
        <v>0</v>
      </c>
      <c r="G25" s="34">
        <f t="shared" si="0"/>
        <v>0</v>
      </c>
    </row>
    <row r="26" spans="1:7" s="27" customFormat="1" outlineLevel="1" x14ac:dyDescent="0.25">
      <c r="A26" s="56"/>
      <c r="B26" s="32" t="s">
        <v>32</v>
      </c>
      <c r="C26" s="33">
        <f>2050000/1000</f>
        <v>2050</v>
      </c>
      <c r="D26" s="34">
        <f>2050000/1000</f>
        <v>2050</v>
      </c>
      <c r="E26" s="34">
        <f t="shared" si="2"/>
        <v>2050</v>
      </c>
      <c r="F26" s="63">
        <v>0</v>
      </c>
      <c r="G26" s="34">
        <f t="shared" si="0"/>
        <v>0</v>
      </c>
    </row>
    <row r="27" spans="1:7" s="27" customFormat="1" ht="51" outlineLevel="1" x14ac:dyDescent="0.25">
      <c r="A27" s="31" t="s">
        <v>54</v>
      </c>
      <c r="B27" s="32" t="s">
        <v>29</v>
      </c>
      <c r="C27" s="33">
        <f>2835000/1000</f>
        <v>2835</v>
      </c>
      <c r="D27" s="33">
        <f>2835000/1000</f>
        <v>2835</v>
      </c>
      <c r="E27" s="34">
        <f t="shared" si="2"/>
        <v>2835</v>
      </c>
      <c r="F27" s="63">
        <v>0</v>
      </c>
      <c r="G27" s="34">
        <f t="shared" si="0"/>
        <v>0</v>
      </c>
    </row>
    <row r="28" spans="1:7" s="27" customFormat="1" ht="38.25" outlineLevel="1" x14ac:dyDescent="0.25">
      <c r="A28" s="31" t="s">
        <v>55</v>
      </c>
      <c r="B28" s="32" t="s">
        <v>33</v>
      </c>
      <c r="C28" s="33">
        <f>1476700/1000</f>
        <v>1476.7</v>
      </c>
      <c r="D28" s="34">
        <f>1476702.13/1000</f>
        <v>1476.7021299999999</v>
      </c>
      <c r="E28" s="34">
        <f t="shared" si="2"/>
        <v>1476.7021299999999</v>
      </c>
      <c r="F28" s="63">
        <v>0</v>
      </c>
      <c r="G28" s="34">
        <f t="shared" si="0"/>
        <v>0</v>
      </c>
    </row>
    <row r="29" spans="1:7" s="27" customFormat="1" ht="21.6" customHeight="1" outlineLevel="1" x14ac:dyDescent="0.25">
      <c r="A29" s="38" t="s">
        <v>56</v>
      </c>
      <c r="B29" s="32" t="s">
        <v>57</v>
      </c>
      <c r="C29" s="33">
        <f>103853000/1000</f>
        <v>103853</v>
      </c>
      <c r="D29" s="34">
        <f>108786400/1000</f>
        <v>108786.4</v>
      </c>
      <c r="E29" s="34">
        <f t="shared" si="2"/>
        <v>108786.4</v>
      </c>
      <c r="F29" s="63">
        <v>0</v>
      </c>
      <c r="G29" s="34">
        <f t="shared" si="0"/>
        <v>0</v>
      </c>
    </row>
    <row r="30" spans="1:7" s="27" customFormat="1" ht="30" customHeight="1" outlineLevel="1" x14ac:dyDescent="0.25">
      <c r="A30" s="39" t="s">
        <v>58</v>
      </c>
      <c r="B30" s="40" t="s">
        <v>59</v>
      </c>
      <c r="C30" s="33">
        <f>195607200/1000</f>
        <v>195607.2</v>
      </c>
      <c r="D30" s="34">
        <f>195607230/1000</f>
        <v>195607.23</v>
      </c>
      <c r="E30" s="34">
        <f t="shared" si="2"/>
        <v>195607.23</v>
      </c>
      <c r="F30" s="63">
        <v>0</v>
      </c>
      <c r="G30" s="34">
        <f t="shared" si="0"/>
        <v>0</v>
      </c>
    </row>
    <row r="31" spans="1:7" s="27" customFormat="1" ht="51" outlineLevel="1" x14ac:dyDescent="0.25">
      <c r="A31" s="39" t="s">
        <v>60</v>
      </c>
      <c r="B31" s="40" t="s">
        <v>61</v>
      </c>
      <c r="C31" s="33">
        <v>0</v>
      </c>
      <c r="D31" s="34">
        <f>68062500/1000</f>
        <v>68062.5</v>
      </c>
      <c r="E31" s="34">
        <f t="shared" si="2"/>
        <v>68062.5</v>
      </c>
      <c r="F31" s="63">
        <v>0</v>
      </c>
      <c r="G31" s="34">
        <f t="shared" si="0"/>
        <v>0</v>
      </c>
    </row>
    <row r="32" spans="1:7" s="27" customFormat="1" ht="102" outlineLevel="1" x14ac:dyDescent="0.25">
      <c r="A32" s="39" t="s">
        <v>62</v>
      </c>
      <c r="B32" s="40" t="s">
        <v>15</v>
      </c>
      <c r="C32" s="33">
        <f>41508300/1000</f>
        <v>41508.300000000003</v>
      </c>
      <c r="D32" s="34">
        <f>41508300/1000</f>
        <v>41508.300000000003</v>
      </c>
      <c r="E32" s="34">
        <f t="shared" si="2"/>
        <v>41508.300000000003</v>
      </c>
      <c r="F32" s="63">
        <f>3044200/1000</f>
        <v>3044.2</v>
      </c>
      <c r="G32" s="34">
        <f t="shared" si="0"/>
        <v>7.3339548957678327</v>
      </c>
    </row>
    <row r="33" spans="1:7" s="27" customFormat="1" ht="26.45" customHeight="1" outlineLevel="1" x14ac:dyDescent="0.25">
      <c r="A33" s="57" t="s">
        <v>63</v>
      </c>
      <c r="B33" s="32" t="s">
        <v>64</v>
      </c>
      <c r="C33" s="33">
        <f>17529469/1000</f>
        <v>17529.469000000001</v>
      </c>
      <c r="D33" s="34">
        <f>17529468.09/1000</f>
        <v>17529.468089999998</v>
      </c>
      <c r="E33" s="34">
        <f t="shared" si="2"/>
        <v>17529.468089999998</v>
      </c>
      <c r="F33" s="63">
        <v>0</v>
      </c>
      <c r="G33" s="34">
        <f t="shared" si="0"/>
        <v>0</v>
      </c>
    </row>
    <row r="34" spans="1:7" s="27" customFormat="1" ht="26.45" customHeight="1" outlineLevel="1" x14ac:dyDescent="0.25">
      <c r="A34" s="58"/>
      <c r="B34" s="32" t="s">
        <v>65</v>
      </c>
      <c r="C34" s="33">
        <f>116490/1000</f>
        <v>116.49</v>
      </c>
      <c r="D34" s="34">
        <v>0</v>
      </c>
      <c r="E34" s="34">
        <f t="shared" si="2"/>
        <v>0</v>
      </c>
      <c r="F34" s="63">
        <v>0</v>
      </c>
      <c r="G34" s="34" t="s">
        <v>168</v>
      </c>
    </row>
    <row r="35" spans="1:7" s="27" customFormat="1" ht="26.45" customHeight="1" outlineLevel="1" x14ac:dyDescent="0.25">
      <c r="A35" s="58"/>
      <c r="B35" s="32" t="s">
        <v>66</v>
      </c>
      <c r="C35" s="33">
        <f>42384681/1000</f>
        <v>42384.680999999997</v>
      </c>
      <c r="D35" s="34">
        <f>42384681/1000</f>
        <v>42384.680999999997</v>
      </c>
      <c r="E35" s="34">
        <f t="shared" si="2"/>
        <v>42384.680999999997</v>
      </c>
      <c r="F35" s="63">
        <v>0</v>
      </c>
      <c r="G35" s="34">
        <f t="shared" si="0"/>
        <v>0</v>
      </c>
    </row>
    <row r="36" spans="1:7" s="27" customFormat="1" ht="21" customHeight="1" outlineLevel="1" x14ac:dyDescent="0.25">
      <c r="A36" s="56"/>
      <c r="B36" s="32" t="s">
        <v>67</v>
      </c>
      <c r="C36" s="33">
        <f>54058540/1000</f>
        <v>54058.54</v>
      </c>
      <c r="D36" s="34">
        <f>54058540/1000</f>
        <v>54058.54</v>
      </c>
      <c r="E36" s="34">
        <f t="shared" si="2"/>
        <v>54058.54</v>
      </c>
      <c r="F36" s="63">
        <v>0</v>
      </c>
      <c r="G36" s="34">
        <f t="shared" si="0"/>
        <v>0</v>
      </c>
    </row>
    <row r="37" spans="1:7" s="27" customFormat="1" ht="37.15" customHeight="1" outlineLevel="1" x14ac:dyDescent="0.25">
      <c r="A37" s="38" t="s">
        <v>68</v>
      </c>
      <c r="B37" s="32" t="s">
        <v>69</v>
      </c>
      <c r="C37" s="33">
        <v>0</v>
      </c>
      <c r="D37" s="34">
        <f>247243600/1000</f>
        <v>247243.6</v>
      </c>
      <c r="E37" s="34">
        <f t="shared" si="2"/>
        <v>247243.6</v>
      </c>
      <c r="F37" s="63">
        <v>0</v>
      </c>
      <c r="G37" s="34">
        <f t="shared" si="0"/>
        <v>0</v>
      </c>
    </row>
    <row r="38" spans="1:7" s="27" customFormat="1" ht="25.5" outlineLevel="1" x14ac:dyDescent="0.25">
      <c r="A38" s="39" t="s">
        <v>70</v>
      </c>
      <c r="B38" s="40" t="s">
        <v>28</v>
      </c>
      <c r="C38" s="33">
        <f>220033600/1000</f>
        <v>220033.6</v>
      </c>
      <c r="D38" s="34">
        <f>220033600/1000</f>
        <v>220033.6</v>
      </c>
      <c r="E38" s="34">
        <f t="shared" si="2"/>
        <v>220033.6</v>
      </c>
      <c r="F38" s="63">
        <v>0</v>
      </c>
      <c r="G38" s="34">
        <f t="shared" si="0"/>
        <v>0</v>
      </c>
    </row>
    <row r="39" spans="1:7" s="27" customFormat="1" ht="38.25" outlineLevel="1" x14ac:dyDescent="0.25">
      <c r="A39" s="39" t="s">
        <v>71</v>
      </c>
      <c r="B39" s="40" t="s">
        <v>72</v>
      </c>
      <c r="C39" s="33">
        <f>3266700/1000</f>
        <v>3266.7</v>
      </c>
      <c r="D39" s="34">
        <f>3266700/1000</f>
        <v>3266.7</v>
      </c>
      <c r="E39" s="34">
        <f t="shared" si="2"/>
        <v>3266.7</v>
      </c>
      <c r="F39" s="63">
        <v>0</v>
      </c>
      <c r="G39" s="34">
        <f t="shared" si="0"/>
        <v>0</v>
      </c>
    </row>
    <row r="40" spans="1:7" s="27" customFormat="1" ht="38.25" outlineLevel="1" x14ac:dyDescent="0.25">
      <c r="A40" s="39" t="s">
        <v>73</v>
      </c>
      <c r="B40" s="40" t="s">
        <v>74</v>
      </c>
      <c r="C40" s="33">
        <f>1732300/1000</f>
        <v>1732.3</v>
      </c>
      <c r="D40" s="34">
        <f>1732340.43/1000</f>
        <v>1732.34043</v>
      </c>
      <c r="E40" s="34">
        <f t="shared" si="2"/>
        <v>1732.34043</v>
      </c>
      <c r="F40" s="63">
        <v>0</v>
      </c>
      <c r="G40" s="34">
        <f t="shared" si="0"/>
        <v>0</v>
      </c>
    </row>
    <row r="41" spans="1:7" s="27" customFormat="1" ht="25.5" outlineLevel="1" x14ac:dyDescent="0.25">
      <c r="A41" s="39" t="s">
        <v>75</v>
      </c>
      <c r="B41" s="40" t="s">
        <v>76</v>
      </c>
      <c r="C41" s="41">
        <f>298379500/1000</f>
        <v>298379.5</v>
      </c>
      <c r="D41" s="34">
        <f>304468877.6/1000</f>
        <v>304468.87760000001</v>
      </c>
      <c r="E41" s="34">
        <f t="shared" si="2"/>
        <v>304468.87760000001</v>
      </c>
      <c r="F41" s="63">
        <v>0</v>
      </c>
      <c r="G41" s="34">
        <f t="shared" si="0"/>
        <v>0</v>
      </c>
    </row>
    <row r="42" spans="1:7" s="27" customFormat="1" ht="42.75" customHeight="1" outlineLevel="1" x14ac:dyDescent="0.25">
      <c r="A42" s="42" t="s">
        <v>77</v>
      </c>
      <c r="B42" s="32" t="s">
        <v>78</v>
      </c>
      <c r="C42" s="33">
        <f>42750200/1000</f>
        <v>42750.2</v>
      </c>
      <c r="D42" s="34">
        <f>42750200/1000</f>
        <v>42750.2</v>
      </c>
      <c r="E42" s="34">
        <f t="shared" si="2"/>
        <v>42750.2</v>
      </c>
      <c r="F42" s="63">
        <v>0</v>
      </c>
      <c r="G42" s="34">
        <f t="shared" si="0"/>
        <v>0</v>
      </c>
    </row>
    <row r="43" spans="1:7" s="27" customFormat="1" ht="59.45" customHeight="1" outlineLevel="1" x14ac:dyDescent="0.25">
      <c r="A43" s="31" t="s">
        <v>79</v>
      </c>
      <c r="B43" s="32" t="s">
        <v>80</v>
      </c>
      <c r="C43" s="33">
        <f>459478800/1000</f>
        <v>459478.8</v>
      </c>
      <c r="D43" s="33">
        <f>818642381.72/1000</f>
        <v>818642.38172000006</v>
      </c>
      <c r="E43" s="34">
        <f t="shared" si="2"/>
        <v>818642.38172000006</v>
      </c>
      <c r="F43" s="63">
        <v>0</v>
      </c>
      <c r="G43" s="34">
        <f t="shared" si="0"/>
        <v>0</v>
      </c>
    </row>
    <row r="44" spans="1:7" s="27" customFormat="1" ht="21" customHeight="1" outlineLevel="1" x14ac:dyDescent="0.25">
      <c r="A44" s="38" t="s">
        <v>81</v>
      </c>
      <c r="B44" s="32" t="s">
        <v>82</v>
      </c>
      <c r="C44" s="33">
        <f>23815000/1000</f>
        <v>23815</v>
      </c>
      <c r="D44" s="34">
        <f>13264900/1000</f>
        <v>13264.9</v>
      </c>
      <c r="E44" s="34">
        <f t="shared" si="2"/>
        <v>13264.9</v>
      </c>
      <c r="F44" s="63">
        <v>0</v>
      </c>
      <c r="G44" s="34">
        <f t="shared" si="0"/>
        <v>0</v>
      </c>
    </row>
    <row r="45" spans="1:7" s="27" customFormat="1" ht="76.5" outlineLevel="1" x14ac:dyDescent="0.25">
      <c r="A45" s="39" t="s">
        <v>83</v>
      </c>
      <c r="B45" s="40" t="s">
        <v>84</v>
      </c>
      <c r="C45" s="33">
        <f>498975400/1000</f>
        <v>498975.4</v>
      </c>
      <c r="D45" s="34">
        <f>498975400/1000</f>
        <v>498975.4</v>
      </c>
      <c r="E45" s="34">
        <f t="shared" si="2"/>
        <v>498975.4</v>
      </c>
      <c r="F45" s="63">
        <v>0</v>
      </c>
      <c r="G45" s="34">
        <f t="shared" si="0"/>
        <v>0</v>
      </c>
    </row>
    <row r="46" spans="1:7" s="27" customFormat="1" ht="51" outlineLevel="1" x14ac:dyDescent="0.25">
      <c r="A46" s="39" t="s">
        <v>27</v>
      </c>
      <c r="B46" s="40" t="s">
        <v>85</v>
      </c>
      <c r="C46" s="33">
        <f>68062500/1000</f>
        <v>68062.5</v>
      </c>
      <c r="D46" s="34">
        <v>0</v>
      </c>
      <c r="E46" s="34">
        <f t="shared" si="2"/>
        <v>0</v>
      </c>
      <c r="F46" s="63">
        <v>0</v>
      </c>
      <c r="G46" s="34" t="s">
        <v>168</v>
      </c>
    </row>
    <row r="47" spans="1:7" s="27" customFormat="1" ht="51" outlineLevel="1" x14ac:dyDescent="0.25">
      <c r="A47" s="39" t="s">
        <v>86</v>
      </c>
      <c r="B47" s="40" t="s">
        <v>87</v>
      </c>
      <c r="C47" s="33">
        <f>4100000/1000</f>
        <v>4100</v>
      </c>
      <c r="D47" s="34">
        <f>4100000/1000</f>
        <v>4100</v>
      </c>
      <c r="E47" s="34">
        <f t="shared" si="2"/>
        <v>4100</v>
      </c>
      <c r="F47" s="63">
        <v>0</v>
      </c>
      <c r="G47" s="34">
        <f t="shared" si="0"/>
        <v>0</v>
      </c>
    </row>
    <row r="48" spans="1:7" s="27" customFormat="1" ht="55.15" customHeight="1" outlineLevel="1" x14ac:dyDescent="0.25">
      <c r="A48" s="39" t="s">
        <v>88</v>
      </c>
      <c r="B48" s="40" t="s">
        <v>89</v>
      </c>
      <c r="C48" s="33">
        <f>57000000/1000</f>
        <v>57000</v>
      </c>
      <c r="D48" s="34">
        <f>57000000/1000</f>
        <v>57000</v>
      </c>
      <c r="E48" s="34">
        <f t="shared" si="2"/>
        <v>57000</v>
      </c>
      <c r="F48" s="63">
        <v>0</v>
      </c>
      <c r="G48" s="34">
        <f t="shared" si="0"/>
        <v>0</v>
      </c>
    </row>
    <row r="49" spans="1:7" s="27" customFormat="1" ht="93" customHeight="1" outlineLevel="1" x14ac:dyDescent="0.25">
      <c r="A49" s="39" t="s">
        <v>90</v>
      </c>
      <c r="B49" s="40" t="s">
        <v>13</v>
      </c>
      <c r="C49" s="33">
        <f>63477000/1000</f>
        <v>63477</v>
      </c>
      <c r="D49" s="34">
        <f>63477000/1000</f>
        <v>63477</v>
      </c>
      <c r="E49" s="34">
        <f t="shared" si="2"/>
        <v>63477</v>
      </c>
      <c r="F49" s="63">
        <v>0</v>
      </c>
      <c r="G49" s="34">
        <f t="shared" si="0"/>
        <v>0</v>
      </c>
    </row>
    <row r="50" spans="1:7" s="27" customFormat="1" ht="44.45" customHeight="1" outlineLevel="1" x14ac:dyDescent="0.25">
      <c r="A50" s="39" t="s">
        <v>91</v>
      </c>
      <c r="B50" s="40" t="s">
        <v>92</v>
      </c>
      <c r="C50" s="33">
        <v>0</v>
      </c>
      <c r="D50" s="34">
        <f>10550100/1000</f>
        <v>10550.1</v>
      </c>
      <c r="E50" s="34">
        <f t="shared" si="2"/>
        <v>10550.1</v>
      </c>
      <c r="F50" s="63">
        <v>0</v>
      </c>
      <c r="G50" s="34">
        <f t="shared" si="0"/>
        <v>0</v>
      </c>
    </row>
    <row r="51" spans="1:7" s="27" customFormat="1" ht="71.45" customHeight="1" outlineLevel="1" x14ac:dyDescent="0.25">
      <c r="A51" s="42" t="s">
        <v>93</v>
      </c>
      <c r="B51" s="32" t="s">
        <v>14</v>
      </c>
      <c r="C51" s="33">
        <f>216545200/1000</f>
        <v>216545.2</v>
      </c>
      <c r="D51" s="34">
        <f>486599420.3/1000</f>
        <v>486599.4203</v>
      </c>
      <c r="E51" s="34">
        <f t="shared" si="2"/>
        <v>486599.4203</v>
      </c>
      <c r="F51" s="63">
        <v>0</v>
      </c>
      <c r="G51" s="34">
        <f t="shared" si="0"/>
        <v>0</v>
      </c>
    </row>
    <row r="52" spans="1:7" s="27" customFormat="1" ht="44.45" customHeight="1" outlineLevel="1" x14ac:dyDescent="0.25">
      <c r="A52" s="31" t="s">
        <v>94</v>
      </c>
      <c r="B52" s="32" t="s">
        <v>95</v>
      </c>
      <c r="C52" s="33">
        <f>22953000/1000</f>
        <v>22953</v>
      </c>
      <c r="D52" s="34">
        <f>22953010/1000</f>
        <v>22953.01</v>
      </c>
      <c r="E52" s="34">
        <f t="shared" si="2"/>
        <v>22953.01</v>
      </c>
      <c r="F52" s="63">
        <v>0</v>
      </c>
      <c r="G52" s="34">
        <f t="shared" si="0"/>
        <v>0</v>
      </c>
    </row>
    <row r="53" spans="1:7" s="27" customFormat="1" x14ac:dyDescent="0.25">
      <c r="A53" s="35" t="s">
        <v>18</v>
      </c>
      <c r="B53" s="36"/>
      <c r="C53" s="37">
        <f>SUM(C54:C79)</f>
        <v>13671338.700000001</v>
      </c>
      <c r="D53" s="37">
        <f>SUM(D54:D79)</f>
        <v>13670337.000000004</v>
      </c>
      <c r="E53" s="37">
        <f>SUM(E54:E79)</f>
        <v>13670337.000000004</v>
      </c>
      <c r="F53" s="64">
        <f>SUM(F54:F79)</f>
        <v>3461509.6921100002</v>
      </c>
      <c r="G53" s="37">
        <f t="shared" si="0"/>
        <v>25.321319380129392</v>
      </c>
    </row>
    <row r="54" spans="1:7" s="27" customFormat="1" ht="45" customHeight="1" outlineLevel="1" x14ac:dyDescent="0.25">
      <c r="A54" s="31" t="s">
        <v>96</v>
      </c>
      <c r="B54" s="32" t="s">
        <v>97</v>
      </c>
      <c r="C54" s="33">
        <f>106391400/1000</f>
        <v>106391.4</v>
      </c>
      <c r="D54" s="34">
        <f>106391400/1000</f>
        <v>106391.4</v>
      </c>
      <c r="E54" s="34">
        <f>D54</f>
        <v>106391.4</v>
      </c>
      <c r="F54" s="63">
        <f>25017401.73/1000</f>
        <v>25017.401730000001</v>
      </c>
      <c r="G54" s="34">
        <f t="shared" si="0"/>
        <v>23.51449621867933</v>
      </c>
    </row>
    <row r="55" spans="1:7" s="27" customFormat="1" ht="44.45" customHeight="1" outlineLevel="1" x14ac:dyDescent="0.25">
      <c r="A55" s="31" t="s">
        <v>98</v>
      </c>
      <c r="B55" s="32" t="s">
        <v>99</v>
      </c>
      <c r="C55" s="33">
        <f>1255900/1000</f>
        <v>1255.9000000000001</v>
      </c>
      <c r="D55" s="34">
        <f>1255900/1000</f>
        <v>1255.9000000000001</v>
      </c>
      <c r="E55" s="34">
        <f t="shared" ref="E55:E79" si="3">D55</f>
        <v>1255.9000000000001</v>
      </c>
      <c r="F55" s="63">
        <v>0</v>
      </c>
      <c r="G55" s="34">
        <f t="shared" si="0"/>
        <v>0</v>
      </c>
    </row>
    <row r="56" spans="1:7" s="27" customFormat="1" ht="76.5" outlineLevel="1" x14ac:dyDescent="0.25">
      <c r="A56" s="31" t="s">
        <v>100</v>
      </c>
      <c r="B56" s="32" t="s">
        <v>101</v>
      </c>
      <c r="C56" s="33">
        <f>61200/1000</f>
        <v>61.2</v>
      </c>
      <c r="D56" s="34">
        <f>61200/1000</f>
        <v>61.2</v>
      </c>
      <c r="E56" s="34">
        <f t="shared" si="3"/>
        <v>61.2</v>
      </c>
      <c r="F56" s="63">
        <v>0</v>
      </c>
      <c r="G56" s="34">
        <f t="shared" si="0"/>
        <v>0</v>
      </c>
    </row>
    <row r="57" spans="1:7" s="27" customFormat="1" ht="108" customHeight="1" outlineLevel="1" x14ac:dyDescent="0.25">
      <c r="A57" s="31" t="s">
        <v>102</v>
      </c>
      <c r="B57" s="32" t="s">
        <v>103</v>
      </c>
      <c r="C57" s="33">
        <f>4276826600/1000</f>
        <v>4276826.5999999996</v>
      </c>
      <c r="D57" s="34">
        <f>4276826600/1000</f>
        <v>4276826.5999999996</v>
      </c>
      <c r="E57" s="34">
        <f t="shared" si="3"/>
        <v>4276826.5999999996</v>
      </c>
      <c r="F57" s="63">
        <f>978259394/1000</f>
        <v>978259.39399999997</v>
      </c>
      <c r="G57" s="34">
        <f t="shared" si="0"/>
        <v>22.87348741237253</v>
      </c>
    </row>
    <row r="58" spans="1:7" s="27" customFormat="1" ht="109.5" customHeight="1" outlineLevel="1" x14ac:dyDescent="0.25">
      <c r="A58" s="31" t="s">
        <v>102</v>
      </c>
      <c r="B58" s="32" t="s">
        <v>104</v>
      </c>
      <c r="C58" s="33">
        <f>7873249000/1000</f>
        <v>7873249</v>
      </c>
      <c r="D58" s="34">
        <f>7873249000/1000</f>
        <v>7873249</v>
      </c>
      <c r="E58" s="34">
        <f t="shared" si="3"/>
        <v>7873249</v>
      </c>
      <c r="F58" s="63">
        <f>2183728100/1000</f>
        <v>2183728.1</v>
      </c>
      <c r="G58" s="34">
        <f t="shared" si="0"/>
        <v>27.736047723119135</v>
      </c>
    </row>
    <row r="59" spans="1:7" s="27" customFormat="1" ht="38.25" outlineLevel="1" x14ac:dyDescent="0.25">
      <c r="A59" s="31" t="s">
        <v>105</v>
      </c>
      <c r="B59" s="32" t="s">
        <v>106</v>
      </c>
      <c r="C59" s="33">
        <f>306313000/1000</f>
        <v>306313</v>
      </c>
      <c r="D59" s="34">
        <f>305311300/1000</f>
        <v>305311.3</v>
      </c>
      <c r="E59" s="34">
        <f t="shared" si="3"/>
        <v>305311.3</v>
      </c>
      <c r="F59" s="63">
        <f>76276200/1000</f>
        <v>76276.2</v>
      </c>
      <c r="G59" s="34">
        <f t="shared" si="0"/>
        <v>24.983091028730346</v>
      </c>
    </row>
    <row r="60" spans="1:7" s="27" customFormat="1" ht="49.9" customHeight="1" outlineLevel="1" x14ac:dyDescent="0.25">
      <c r="A60" s="31" t="s">
        <v>107</v>
      </c>
      <c r="B60" s="32" t="s">
        <v>108</v>
      </c>
      <c r="C60" s="33">
        <f>132960000/1000</f>
        <v>132960</v>
      </c>
      <c r="D60" s="34">
        <f>132960000/1000</f>
        <v>132960</v>
      </c>
      <c r="E60" s="34">
        <f t="shared" si="3"/>
        <v>132960</v>
      </c>
      <c r="F60" s="63">
        <v>0</v>
      </c>
      <c r="G60" s="34">
        <f t="shared" si="0"/>
        <v>0</v>
      </c>
    </row>
    <row r="61" spans="1:7" s="27" customFormat="1" ht="34.15" customHeight="1" outlineLevel="1" x14ac:dyDescent="0.25">
      <c r="A61" s="31" t="s">
        <v>109</v>
      </c>
      <c r="B61" s="32" t="s">
        <v>110</v>
      </c>
      <c r="C61" s="33">
        <f>13000000/1000</f>
        <v>13000</v>
      </c>
      <c r="D61" s="34">
        <f>13000000/1000</f>
        <v>13000</v>
      </c>
      <c r="E61" s="34">
        <f t="shared" si="3"/>
        <v>13000</v>
      </c>
      <c r="F61" s="63">
        <v>0</v>
      </c>
      <c r="G61" s="34">
        <f t="shared" si="0"/>
        <v>0</v>
      </c>
    </row>
    <row r="62" spans="1:7" s="27" customFormat="1" ht="57.75" customHeight="1" outlineLevel="1" x14ac:dyDescent="0.25">
      <c r="A62" s="38" t="s">
        <v>111</v>
      </c>
      <c r="B62" s="32" t="s">
        <v>112</v>
      </c>
      <c r="C62" s="33">
        <f>485700/1000</f>
        <v>485.7</v>
      </c>
      <c r="D62" s="34">
        <f>485700/1000</f>
        <v>485.7</v>
      </c>
      <c r="E62" s="34">
        <f t="shared" si="3"/>
        <v>485.7</v>
      </c>
      <c r="F62" s="63">
        <f>74917.61/1000</f>
        <v>74.917609999999996</v>
      </c>
      <c r="G62" s="34">
        <f t="shared" si="0"/>
        <v>15.424667490220301</v>
      </c>
    </row>
    <row r="63" spans="1:7" s="27" customFormat="1" ht="72" customHeight="1" outlineLevel="1" x14ac:dyDescent="0.25">
      <c r="A63" s="39" t="s">
        <v>113</v>
      </c>
      <c r="B63" s="43" t="s">
        <v>114</v>
      </c>
      <c r="C63" s="44">
        <f>126208900/1000</f>
        <v>126208.9</v>
      </c>
      <c r="D63" s="34">
        <f>126208900/1000</f>
        <v>126208.9</v>
      </c>
      <c r="E63" s="34">
        <f t="shared" si="3"/>
        <v>126208.9</v>
      </c>
      <c r="F63" s="63">
        <f>16208900/1000</f>
        <v>16208.9</v>
      </c>
      <c r="G63" s="34">
        <f t="shared" si="0"/>
        <v>12.842913613857659</v>
      </c>
    </row>
    <row r="64" spans="1:7" s="27" customFormat="1" ht="54" customHeight="1" outlineLevel="1" x14ac:dyDescent="0.25">
      <c r="A64" s="39" t="s">
        <v>115</v>
      </c>
      <c r="B64" s="43" t="s">
        <v>116</v>
      </c>
      <c r="C64" s="44">
        <f>6562500/1000</f>
        <v>6562.5</v>
      </c>
      <c r="D64" s="34">
        <f>6562500/1000</f>
        <v>6562.5</v>
      </c>
      <c r="E64" s="34">
        <f t="shared" si="3"/>
        <v>6562.5</v>
      </c>
      <c r="F64" s="63">
        <f>1640400/1000</f>
        <v>1640.4</v>
      </c>
      <c r="G64" s="34">
        <f t="shared" si="0"/>
        <v>24.996571428571428</v>
      </c>
    </row>
    <row r="65" spans="1:7" s="27" customFormat="1" ht="28.5" customHeight="1" outlineLevel="1" x14ac:dyDescent="0.25">
      <c r="A65" s="42" t="s">
        <v>117</v>
      </c>
      <c r="B65" s="32" t="s">
        <v>118</v>
      </c>
      <c r="C65" s="33">
        <f>444700/1000</f>
        <v>444.7</v>
      </c>
      <c r="D65" s="34">
        <f>444700/1000</f>
        <v>444.7</v>
      </c>
      <c r="E65" s="34">
        <f t="shared" si="3"/>
        <v>444.7</v>
      </c>
      <c r="F65" s="63">
        <v>0</v>
      </c>
      <c r="G65" s="34">
        <f t="shared" si="0"/>
        <v>0</v>
      </c>
    </row>
    <row r="66" spans="1:7" s="27" customFormat="1" ht="32.450000000000003" customHeight="1" outlineLevel="1" x14ac:dyDescent="0.25">
      <c r="A66" s="31" t="s">
        <v>119</v>
      </c>
      <c r="B66" s="32" t="s">
        <v>120</v>
      </c>
      <c r="C66" s="33">
        <f>3405100/1000</f>
        <v>3405.1</v>
      </c>
      <c r="D66" s="33">
        <f>3405100/1000</f>
        <v>3405.1</v>
      </c>
      <c r="E66" s="34">
        <f t="shared" si="3"/>
        <v>3405.1</v>
      </c>
      <c r="F66" s="63">
        <f>811000/1000</f>
        <v>811</v>
      </c>
      <c r="G66" s="34">
        <f t="shared" si="0"/>
        <v>23.817215353440428</v>
      </c>
    </row>
    <row r="67" spans="1:7" s="27" customFormat="1" ht="32.450000000000003" customHeight="1" outlineLevel="1" x14ac:dyDescent="0.25">
      <c r="A67" s="31" t="s">
        <v>121</v>
      </c>
      <c r="B67" s="32" t="s">
        <v>122</v>
      </c>
      <c r="C67" s="33">
        <f>36000/1000</f>
        <v>36</v>
      </c>
      <c r="D67" s="34">
        <f>36000/1000</f>
        <v>36</v>
      </c>
      <c r="E67" s="34">
        <f t="shared" si="3"/>
        <v>36</v>
      </c>
      <c r="F67" s="63">
        <v>0</v>
      </c>
      <c r="G67" s="34">
        <f t="shared" si="0"/>
        <v>0</v>
      </c>
    </row>
    <row r="68" spans="1:7" s="27" customFormat="1" ht="32.450000000000003" customHeight="1" outlineLevel="1" x14ac:dyDescent="0.25">
      <c r="A68" s="31" t="s">
        <v>123</v>
      </c>
      <c r="B68" s="32" t="s">
        <v>124</v>
      </c>
      <c r="C68" s="33">
        <f>24184900/1000</f>
        <v>24184.9</v>
      </c>
      <c r="D68" s="34">
        <f>24184900/1000</f>
        <v>24184.9</v>
      </c>
      <c r="E68" s="34">
        <f t="shared" si="3"/>
        <v>24184.9</v>
      </c>
      <c r="F68" s="63">
        <f>5377643/1000</f>
        <v>5377.643</v>
      </c>
      <c r="G68" s="34">
        <f t="shared" si="0"/>
        <v>22.235539530864298</v>
      </c>
    </row>
    <row r="69" spans="1:7" s="27" customFormat="1" ht="20.45" customHeight="1" outlineLevel="1" x14ac:dyDescent="0.25">
      <c r="A69" s="31" t="s">
        <v>125</v>
      </c>
      <c r="B69" s="32" t="s">
        <v>126</v>
      </c>
      <c r="C69" s="33">
        <f>12084800/1000</f>
        <v>12084.8</v>
      </c>
      <c r="D69" s="34">
        <f>12084800/1000</f>
        <v>12084.8</v>
      </c>
      <c r="E69" s="34">
        <f t="shared" si="3"/>
        <v>12084.8</v>
      </c>
      <c r="F69" s="63">
        <f>3105583.04/1000</f>
        <v>3105.58304</v>
      </c>
      <c r="G69" s="34">
        <f t="shared" si="0"/>
        <v>25.698257645968493</v>
      </c>
    </row>
    <row r="70" spans="1:7" s="27" customFormat="1" ht="57.6" customHeight="1" outlineLevel="1" x14ac:dyDescent="0.25">
      <c r="A70" s="31" t="s">
        <v>127</v>
      </c>
      <c r="B70" s="32" t="s">
        <v>128</v>
      </c>
      <c r="C70" s="33">
        <f>1049900/1000</f>
        <v>1049.9000000000001</v>
      </c>
      <c r="D70" s="34">
        <f>1049900/1000</f>
        <v>1049.9000000000001</v>
      </c>
      <c r="E70" s="34">
        <f t="shared" si="3"/>
        <v>1049.9000000000001</v>
      </c>
      <c r="F70" s="63">
        <f>262449/1000</f>
        <v>262.44900000000001</v>
      </c>
      <c r="G70" s="34">
        <f t="shared" si="0"/>
        <v>24.997523573673682</v>
      </c>
    </row>
    <row r="71" spans="1:7" s="27" customFormat="1" ht="89.25" outlineLevel="1" x14ac:dyDescent="0.25">
      <c r="A71" s="31" t="s">
        <v>129</v>
      </c>
      <c r="B71" s="32" t="s">
        <v>130</v>
      </c>
      <c r="C71" s="33">
        <f>18500/1000</f>
        <v>18.5</v>
      </c>
      <c r="D71" s="34">
        <f>18500/1000</f>
        <v>18.5</v>
      </c>
      <c r="E71" s="34">
        <f t="shared" si="3"/>
        <v>18.5</v>
      </c>
      <c r="F71" s="63">
        <v>0</v>
      </c>
      <c r="G71" s="34">
        <f t="shared" si="0"/>
        <v>0</v>
      </c>
    </row>
    <row r="72" spans="1:7" s="27" customFormat="1" ht="34.9" customHeight="1" outlineLevel="1" x14ac:dyDescent="0.25">
      <c r="A72" s="31" t="s">
        <v>131</v>
      </c>
      <c r="B72" s="32" t="s">
        <v>132</v>
      </c>
      <c r="C72" s="33">
        <f>58639400/1000</f>
        <v>58639.4</v>
      </c>
      <c r="D72" s="34">
        <f>58639400/1000</f>
        <v>58639.4</v>
      </c>
      <c r="E72" s="34">
        <f t="shared" si="3"/>
        <v>58639.4</v>
      </c>
      <c r="F72" s="63">
        <f>11944960.81/1000</f>
        <v>11944.96081</v>
      </c>
      <c r="G72" s="34">
        <f t="shared" ref="G72:G94" si="4">F72/E72*100</f>
        <v>20.370196165035797</v>
      </c>
    </row>
    <row r="73" spans="1:7" s="27" customFormat="1" ht="45" customHeight="1" outlineLevel="1" x14ac:dyDescent="0.25">
      <c r="A73" s="31" t="s">
        <v>133</v>
      </c>
      <c r="B73" s="32" t="s">
        <v>134</v>
      </c>
      <c r="C73" s="33">
        <f>476200/1000</f>
        <v>476.2</v>
      </c>
      <c r="D73" s="34">
        <f>476200/1000</f>
        <v>476.2</v>
      </c>
      <c r="E73" s="34">
        <f t="shared" si="3"/>
        <v>476.2</v>
      </c>
      <c r="F73" s="63">
        <v>0</v>
      </c>
      <c r="G73" s="34">
        <f t="shared" si="4"/>
        <v>0</v>
      </c>
    </row>
    <row r="74" spans="1:7" s="27" customFormat="1" ht="43.9" customHeight="1" outlineLevel="1" x14ac:dyDescent="0.25">
      <c r="A74" s="31" t="s">
        <v>135</v>
      </c>
      <c r="B74" s="32" t="s">
        <v>136</v>
      </c>
      <c r="C74" s="33">
        <f>6093100/1000</f>
        <v>6093.1</v>
      </c>
      <c r="D74" s="34">
        <f>7164300/1000</f>
        <v>7164.3</v>
      </c>
      <c r="E74" s="34">
        <f t="shared" si="3"/>
        <v>7164.3</v>
      </c>
      <c r="F74" s="63">
        <f>1786508/1000</f>
        <v>1786.508</v>
      </c>
      <c r="G74" s="34">
        <f t="shared" si="4"/>
        <v>24.936253367391092</v>
      </c>
    </row>
    <row r="75" spans="1:7" s="27" customFormat="1" ht="61.9" customHeight="1" outlineLevel="1" x14ac:dyDescent="0.25">
      <c r="A75" s="31" t="s">
        <v>137</v>
      </c>
      <c r="B75" s="32" t="s">
        <v>138</v>
      </c>
      <c r="C75" s="33">
        <f>50518000/1000</f>
        <v>50518</v>
      </c>
      <c r="D75" s="34">
        <f>49446800/1000</f>
        <v>49446.8</v>
      </c>
      <c r="E75" s="34">
        <f t="shared" si="3"/>
        <v>49446.8</v>
      </c>
      <c r="F75" s="63">
        <f>8782100/1000</f>
        <v>8782.1</v>
      </c>
      <c r="G75" s="34">
        <f t="shared" si="4"/>
        <v>17.760704433856183</v>
      </c>
    </row>
    <row r="76" spans="1:7" s="27" customFormat="1" ht="85.15" customHeight="1" outlineLevel="1" x14ac:dyDescent="0.25">
      <c r="A76" s="31" t="s">
        <v>139</v>
      </c>
      <c r="B76" s="32" t="s">
        <v>140</v>
      </c>
      <c r="C76" s="33">
        <f>40645300/1000</f>
        <v>40645.300000000003</v>
      </c>
      <c r="D76" s="34">
        <f>40645300/1000</f>
        <v>40645.300000000003</v>
      </c>
      <c r="E76" s="34">
        <f t="shared" si="3"/>
        <v>40645.300000000003</v>
      </c>
      <c r="F76" s="63">
        <v>0</v>
      </c>
      <c r="G76" s="34">
        <f t="shared" si="4"/>
        <v>0</v>
      </c>
    </row>
    <row r="77" spans="1:7" s="27" customFormat="1" ht="19.149999999999999" customHeight="1" outlineLevel="1" x14ac:dyDescent="0.25">
      <c r="A77" s="31" t="s">
        <v>141</v>
      </c>
      <c r="B77" s="32" t="s">
        <v>142</v>
      </c>
      <c r="C77" s="33">
        <f>15656300/1000</f>
        <v>15656.3</v>
      </c>
      <c r="D77" s="34">
        <f>15656300/1000</f>
        <v>15656.3</v>
      </c>
      <c r="E77" s="34">
        <f t="shared" si="3"/>
        <v>15656.3</v>
      </c>
      <c r="F77" s="63">
        <v>0</v>
      </c>
      <c r="G77" s="34">
        <f t="shared" si="4"/>
        <v>0</v>
      </c>
    </row>
    <row r="78" spans="1:7" s="27" customFormat="1" ht="41.25" customHeight="1" outlineLevel="1" x14ac:dyDescent="0.25">
      <c r="A78" s="31" t="s">
        <v>143</v>
      </c>
      <c r="B78" s="32" t="s">
        <v>144</v>
      </c>
      <c r="C78" s="33">
        <f>515453300/1000</f>
        <v>515453.3</v>
      </c>
      <c r="D78" s="34">
        <f>515453300/1000</f>
        <v>515453.3</v>
      </c>
      <c r="E78" s="34">
        <f t="shared" si="3"/>
        <v>515453.3</v>
      </c>
      <c r="F78" s="63">
        <f>125209134.92/1000</f>
        <v>125209.13492</v>
      </c>
      <c r="G78" s="34">
        <f t="shared" si="4"/>
        <v>24.291072521991808</v>
      </c>
    </row>
    <row r="79" spans="1:7" s="27" customFormat="1" ht="34.5" customHeight="1" outlineLevel="1" x14ac:dyDescent="0.25">
      <c r="A79" s="31" t="s">
        <v>145</v>
      </c>
      <c r="B79" s="32" t="s">
        <v>146</v>
      </c>
      <c r="C79" s="33">
        <f>99319000/1000</f>
        <v>99319</v>
      </c>
      <c r="D79" s="34">
        <f>99319000/1000</f>
        <v>99319</v>
      </c>
      <c r="E79" s="34">
        <f t="shared" si="3"/>
        <v>99319</v>
      </c>
      <c r="F79" s="63">
        <f>23025000/1000</f>
        <v>23025</v>
      </c>
      <c r="G79" s="34">
        <f t="shared" si="4"/>
        <v>23.182875381346975</v>
      </c>
    </row>
    <row r="80" spans="1:7" x14ac:dyDescent="0.25">
      <c r="A80" s="12" t="s">
        <v>19</v>
      </c>
      <c r="B80" s="13"/>
      <c r="C80" s="18">
        <f>SUM(C81:C93)</f>
        <v>1212571.7</v>
      </c>
      <c r="D80" s="18">
        <f>SUM(D81:D93)</f>
        <v>1639332.82956</v>
      </c>
      <c r="E80" s="18">
        <f>SUM(E81:E93)</f>
        <v>1639332.82956</v>
      </c>
      <c r="F80" s="65">
        <f>SUM(F81:F82)</f>
        <v>0</v>
      </c>
      <c r="G80" s="37">
        <f t="shared" si="4"/>
        <v>0</v>
      </c>
    </row>
    <row r="81" spans="1:7" ht="38.25" outlineLevel="1" x14ac:dyDescent="0.25">
      <c r="A81" s="10" t="s">
        <v>147</v>
      </c>
      <c r="B81" s="11" t="s">
        <v>148</v>
      </c>
      <c r="C81" s="16">
        <f>255000/1000</f>
        <v>255</v>
      </c>
      <c r="D81" s="17">
        <f>255000/1000</f>
        <v>255</v>
      </c>
      <c r="E81" s="17">
        <f>D81</f>
        <v>255</v>
      </c>
      <c r="F81" s="66">
        <v>0</v>
      </c>
      <c r="G81" s="34">
        <f t="shared" si="4"/>
        <v>0</v>
      </c>
    </row>
    <row r="82" spans="1:7" ht="38.25" outlineLevel="1" x14ac:dyDescent="0.25">
      <c r="A82" s="10" t="s">
        <v>149</v>
      </c>
      <c r="B82" s="11" t="s">
        <v>150</v>
      </c>
      <c r="C82" s="16">
        <f>19250700/1000</f>
        <v>19250.7</v>
      </c>
      <c r="D82" s="17">
        <f>51473015/1000</f>
        <v>51473.014999999999</v>
      </c>
      <c r="E82" s="17">
        <f t="shared" ref="E82:E93" si="5">D82</f>
        <v>51473.014999999999</v>
      </c>
      <c r="F82" s="66">
        <v>0</v>
      </c>
      <c r="G82" s="34">
        <f t="shared" si="4"/>
        <v>0</v>
      </c>
    </row>
    <row r="83" spans="1:7" ht="51" customHeight="1" outlineLevel="1" x14ac:dyDescent="0.25">
      <c r="A83" s="45" t="s">
        <v>151</v>
      </c>
      <c r="B83" s="11" t="s">
        <v>152</v>
      </c>
      <c r="C83" s="16">
        <f>365872600/1000</f>
        <v>365872.6</v>
      </c>
      <c r="D83" s="17">
        <f>365872600/1000</f>
        <v>365872.6</v>
      </c>
      <c r="E83" s="17">
        <f t="shared" si="5"/>
        <v>365872.6</v>
      </c>
      <c r="F83" s="66">
        <v>0</v>
      </c>
      <c r="G83" s="34">
        <f t="shared" si="4"/>
        <v>0</v>
      </c>
    </row>
    <row r="84" spans="1:7" ht="27" customHeight="1" outlineLevel="1" x14ac:dyDescent="0.25">
      <c r="A84" s="46"/>
      <c r="B84" s="11" t="s">
        <v>153</v>
      </c>
      <c r="C84" s="16">
        <v>0</v>
      </c>
      <c r="D84" s="17">
        <f>105979500/1000</f>
        <v>105979.5</v>
      </c>
      <c r="E84" s="17">
        <f t="shared" si="5"/>
        <v>105979.5</v>
      </c>
      <c r="F84" s="66">
        <v>0</v>
      </c>
      <c r="G84" s="34">
        <f t="shared" si="4"/>
        <v>0</v>
      </c>
    </row>
    <row r="85" spans="1:7" ht="22.5" customHeight="1" outlineLevel="1" x14ac:dyDescent="0.25">
      <c r="A85" s="46"/>
      <c r="B85" s="11" t="s">
        <v>154</v>
      </c>
      <c r="C85" s="16">
        <f>56430000/1000</f>
        <v>56430</v>
      </c>
      <c r="D85" s="17">
        <f>56430000/1000</f>
        <v>56430</v>
      </c>
      <c r="E85" s="17">
        <f t="shared" si="5"/>
        <v>56430</v>
      </c>
      <c r="F85" s="66">
        <v>0</v>
      </c>
      <c r="G85" s="34">
        <f t="shared" si="4"/>
        <v>0</v>
      </c>
    </row>
    <row r="86" spans="1:7" ht="23.25" customHeight="1" outlineLevel="1" x14ac:dyDescent="0.25">
      <c r="A86" s="46"/>
      <c r="B86" s="11" t="s">
        <v>155</v>
      </c>
      <c r="C86" s="16">
        <f>259000/1000</f>
        <v>259</v>
      </c>
      <c r="D86" s="17">
        <f>6248371.08/1000</f>
        <v>6248.3710799999999</v>
      </c>
      <c r="E86" s="17">
        <f t="shared" si="5"/>
        <v>6248.3710799999999</v>
      </c>
      <c r="F86" s="66">
        <v>0</v>
      </c>
      <c r="G86" s="34">
        <f t="shared" si="4"/>
        <v>0</v>
      </c>
    </row>
    <row r="87" spans="1:7" ht="27.75" customHeight="1" outlineLevel="1" x14ac:dyDescent="0.25">
      <c r="A87" s="46"/>
      <c r="B87" s="11" t="s">
        <v>156</v>
      </c>
      <c r="C87" s="16">
        <v>0</v>
      </c>
      <c r="D87" s="17">
        <f>1070500/1000</f>
        <v>1070.5</v>
      </c>
      <c r="E87" s="17">
        <f t="shared" si="5"/>
        <v>1070.5</v>
      </c>
      <c r="F87" s="66">
        <v>0</v>
      </c>
      <c r="G87" s="34">
        <f t="shared" si="4"/>
        <v>0</v>
      </c>
    </row>
    <row r="88" spans="1:7" ht="25.5" customHeight="1" outlineLevel="1" x14ac:dyDescent="0.25">
      <c r="A88" s="46"/>
      <c r="B88" s="11" t="s">
        <v>157</v>
      </c>
      <c r="C88" s="16">
        <f>570000/1000</f>
        <v>570</v>
      </c>
      <c r="D88" s="17">
        <f>570000/1000</f>
        <v>570</v>
      </c>
      <c r="E88" s="17">
        <f t="shared" si="5"/>
        <v>570</v>
      </c>
      <c r="F88" s="66">
        <v>0</v>
      </c>
      <c r="G88" s="34">
        <f t="shared" si="4"/>
        <v>0</v>
      </c>
    </row>
    <row r="89" spans="1:7" ht="25.5" customHeight="1" outlineLevel="1" x14ac:dyDescent="0.25">
      <c r="A89" s="47"/>
      <c r="B89" s="11" t="s">
        <v>158</v>
      </c>
      <c r="C89" s="16">
        <v>0</v>
      </c>
      <c r="D89" s="17">
        <f>63114.85/1000</f>
        <v>63.114849999999997</v>
      </c>
      <c r="E89" s="17">
        <f t="shared" si="5"/>
        <v>63.114849999999997</v>
      </c>
      <c r="F89" s="66">
        <v>0</v>
      </c>
      <c r="G89" s="34">
        <f t="shared" si="4"/>
        <v>0</v>
      </c>
    </row>
    <row r="90" spans="1:7" s="27" customFormat="1" ht="25.5" outlineLevel="1" x14ac:dyDescent="0.25">
      <c r="A90" s="31" t="s">
        <v>75</v>
      </c>
      <c r="B90" s="32" t="s">
        <v>76</v>
      </c>
      <c r="C90" s="33">
        <f>6089000/1000</f>
        <v>6089</v>
      </c>
      <c r="D90" s="34">
        <v>0</v>
      </c>
      <c r="E90" s="34">
        <f t="shared" si="5"/>
        <v>0</v>
      </c>
      <c r="F90" s="63">
        <v>0</v>
      </c>
      <c r="G90" s="34" t="s">
        <v>168</v>
      </c>
    </row>
    <row r="91" spans="1:7" s="27" customFormat="1" ht="25.5" outlineLevel="1" x14ac:dyDescent="0.25">
      <c r="A91" s="31" t="s">
        <v>159</v>
      </c>
      <c r="B91" s="32" t="s">
        <v>160</v>
      </c>
      <c r="C91" s="33">
        <v>0</v>
      </c>
      <c r="D91" s="34">
        <f>1574782/1000</f>
        <v>1574.7819999999999</v>
      </c>
      <c r="E91" s="34">
        <f t="shared" si="5"/>
        <v>1574.7819999999999</v>
      </c>
      <c r="F91" s="63">
        <v>0</v>
      </c>
      <c r="G91" s="34">
        <f t="shared" si="4"/>
        <v>0</v>
      </c>
    </row>
    <row r="92" spans="1:7" s="27" customFormat="1" outlineLevel="1" x14ac:dyDescent="0.25">
      <c r="A92" s="31" t="s">
        <v>161</v>
      </c>
      <c r="B92" s="32" t="s">
        <v>162</v>
      </c>
      <c r="C92" s="33">
        <f>2040800/1000</f>
        <v>2040.8</v>
      </c>
      <c r="D92" s="34">
        <f>2040816.33/1000</f>
        <v>2040.8163300000001</v>
      </c>
      <c r="E92" s="34">
        <f t="shared" si="5"/>
        <v>2040.8163300000001</v>
      </c>
      <c r="F92" s="63">
        <v>0</v>
      </c>
      <c r="G92" s="34">
        <f t="shared" si="4"/>
        <v>0</v>
      </c>
    </row>
    <row r="93" spans="1:7" s="27" customFormat="1" ht="38.25" outlineLevel="1" x14ac:dyDescent="0.25">
      <c r="A93" s="31" t="s">
        <v>163</v>
      </c>
      <c r="B93" s="32" t="s">
        <v>164</v>
      </c>
      <c r="C93" s="33">
        <f>761804600/1000</f>
        <v>761804.6</v>
      </c>
      <c r="D93" s="34">
        <f>1047755130.3/1000</f>
        <v>1047755.1303</v>
      </c>
      <c r="E93" s="34">
        <f t="shared" si="5"/>
        <v>1047755.1303</v>
      </c>
      <c r="F93" s="63">
        <v>0</v>
      </c>
      <c r="G93" s="34">
        <f t="shared" si="4"/>
        <v>0</v>
      </c>
    </row>
    <row r="94" spans="1:7" s="5" customFormat="1" x14ac:dyDescent="0.25">
      <c r="A94" s="14" t="s">
        <v>22</v>
      </c>
      <c r="B94" s="14"/>
      <c r="C94" s="18">
        <f>C7+C11+C53+C80</f>
        <v>22496042.48</v>
      </c>
      <c r="D94" s="18">
        <f>D7+D11+D53+D80</f>
        <v>24552933.056840006</v>
      </c>
      <c r="E94" s="18">
        <f>E7+E11+E53+E80</f>
        <v>24552933.056840006</v>
      </c>
      <c r="F94" s="65">
        <f>F7+F11+F53+F80</f>
        <v>5036774.3521100003</v>
      </c>
      <c r="G94" s="37">
        <f>F94/E94*100</f>
        <v>20.513941615243585</v>
      </c>
    </row>
    <row r="95" spans="1:7" x14ac:dyDescent="0.25">
      <c r="A95" s="4"/>
      <c r="B95" s="4"/>
      <c r="C95" s="19"/>
      <c r="D95" s="20"/>
      <c r="E95" s="21"/>
      <c r="F95" s="19"/>
      <c r="G95" s="3"/>
    </row>
    <row r="98" spans="3:6" x14ac:dyDescent="0.25">
      <c r="C98" s="24"/>
      <c r="E98" s="26"/>
      <c r="F98" s="26"/>
    </row>
    <row r="99" spans="3:6" x14ac:dyDescent="0.25">
      <c r="C99" s="25"/>
    </row>
  </sheetData>
  <autoFilter ref="A6:G94"/>
  <mergeCells count="13">
    <mergeCell ref="G4:G5"/>
    <mergeCell ref="A1:G1"/>
    <mergeCell ref="A83:A89"/>
    <mergeCell ref="A2:F2"/>
    <mergeCell ref="A3:B3"/>
    <mergeCell ref="A4:A5"/>
    <mergeCell ref="B4:B5"/>
    <mergeCell ref="D4:D5"/>
    <mergeCell ref="A25:A26"/>
    <mergeCell ref="A33:A36"/>
    <mergeCell ref="C4:C5"/>
    <mergeCell ref="E4:E5"/>
    <mergeCell ref="F4:F5"/>
  </mergeCells>
  <pageMargins left="0.39370078740157483" right="0.39370078740157483" top="0.39370078740157483" bottom="0.39370078740157483" header="0.39370078740157483" footer="0.39370078740157483"/>
  <pageSetup paperSize="9"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60B9111-5B57-4D10-843F-7C4FFE48D50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Анастасия Гаранина</cp:lastModifiedBy>
  <cp:lastPrinted>2020-08-03T01:03:46Z</cp:lastPrinted>
  <dcterms:created xsi:type="dcterms:W3CDTF">2018-08-03T02:45:07Z</dcterms:created>
  <dcterms:modified xsi:type="dcterms:W3CDTF">2020-08-17T06:35:47Z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2017(9).xlsx</vt:lpwstr>
  </property>
  <property fmtid="{D5CDD505-2E9C-101B-9397-08002B2CF9AE}" pid="3" name="Название отчета">
    <vt:lpwstr>МБТ 2017(9).xlsx</vt:lpwstr>
  </property>
  <property fmtid="{D5CDD505-2E9C-101B-9397-08002B2CF9AE}" pid="4" name="Версия клиента">
    <vt:lpwstr>18.3.5.7160</vt:lpwstr>
  </property>
  <property fmtid="{D5CDD505-2E9C-101B-9397-08002B2CF9AE}" pid="5" name="Версия базы">
    <vt:lpwstr>17.4.4220.0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bud_2017</vt:lpwstr>
  </property>
  <property fmtid="{D5CDD505-2E9C-101B-9397-08002B2CF9AE}" pid="9" name="Пользователь">
    <vt:lpwstr>власова</vt:lpwstr>
  </property>
  <property fmtid="{D5CDD505-2E9C-101B-9397-08002B2CF9AE}" pid="10" name="Шаблон">
    <vt:lpwstr>SQR_GENERATOR2016</vt:lpwstr>
  </property>
  <property fmtid="{D5CDD505-2E9C-101B-9397-08002B2CF9AE}" pid="11" name="Локальная база">
    <vt:lpwstr>не используется</vt:lpwstr>
  </property>
</Properties>
</file>