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825" windowWidth="19440" windowHeight="7575"/>
  </bookViews>
  <sheets>
    <sheet name="Документ" sheetId="2" r:id="rId1"/>
  </sheets>
  <definedNames>
    <definedName name="_xlnm._FilterDatabase" localSheetId="0" hidden="1">Документ!$A$6:$G$115</definedName>
    <definedName name="_xlnm.Print_Titles" localSheetId="0">Документ!$4:$6</definedName>
    <definedName name="_xlnm.Print_Area" localSheetId="0">Документ!$A$1:$F$116</definedName>
  </definedNames>
  <calcPr calcId="145621"/>
</workbook>
</file>

<file path=xl/calcChain.xml><?xml version="1.0" encoding="utf-8"?>
<calcChain xmlns="http://schemas.openxmlformats.org/spreadsheetml/2006/main">
  <c r="D89" i="2" l="1"/>
  <c r="E89" i="2"/>
  <c r="F89" i="2"/>
  <c r="C89" i="2"/>
  <c r="C113" i="2" l="1"/>
  <c r="D113" i="2"/>
  <c r="E59" i="2" l="1"/>
  <c r="F44" i="2" l="1"/>
  <c r="E44" i="2"/>
  <c r="F38" i="2"/>
  <c r="E38" i="2"/>
  <c r="F27" i="2"/>
  <c r="E27" i="2"/>
  <c r="D27" i="2" s="1"/>
  <c r="F93" i="2" l="1"/>
  <c r="F90" i="2"/>
  <c r="F110" i="2"/>
  <c r="F111" i="2"/>
  <c r="F91" i="2"/>
  <c r="E93" i="2"/>
  <c r="D93" i="2" s="1"/>
  <c r="E90" i="2"/>
  <c r="D90" i="2" s="1"/>
  <c r="E110" i="2"/>
  <c r="D110" i="2" s="1"/>
  <c r="E111" i="2"/>
  <c r="D111" i="2" s="1"/>
  <c r="E91" i="2"/>
  <c r="D91" i="2" s="1"/>
  <c r="F92" i="2"/>
  <c r="F95" i="2"/>
  <c r="F98" i="2"/>
  <c r="F101" i="2"/>
  <c r="F103" i="2"/>
  <c r="F106" i="2"/>
  <c r="F108" i="2"/>
  <c r="F96" i="2"/>
  <c r="F100" i="2"/>
  <c r="F102" i="2"/>
  <c r="F104" i="2"/>
  <c r="F109" i="2"/>
  <c r="E109" i="2"/>
  <c r="D109" i="2" s="1"/>
  <c r="E107" i="2"/>
  <c r="D107" i="2" s="1"/>
  <c r="E104" i="2"/>
  <c r="D104" i="2" s="1"/>
  <c r="E102" i="2"/>
  <c r="D102" i="2" s="1"/>
  <c r="E100" i="2"/>
  <c r="D100" i="2" s="1"/>
  <c r="E96" i="2"/>
  <c r="D96" i="2" s="1"/>
  <c r="E108" i="2"/>
  <c r="D108" i="2" s="1"/>
  <c r="E106" i="2"/>
  <c r="D106" i="2" s="1"/>
  <c r="E103" i="2"/>
  <c r="D103" i="2" s="1"/>
  <c r="E101" i="2"/>
  <c r="D101" i="2" s="1"/>
  <c r="E98" i="2"/>
  <c r="D98" i="2" s="1"/>
  <c r="E95" i="2"/>
  <c r="D95" i="2" s="1"/>
  <c r="E92" i="2"/>
  <c r="D92" i="2" s="1"/>
  <c r="F114" i="2"/>
  <c r="E114" i="2"/>
  <c r="D114" i="2" s="1"/>
  <c r="F112" i="2"/>
  <c r="E112" i="2"/>
  <c r="D112" i="2" s="1"/>
  <c r="F105" i="2"/>
  <c r="E105" i="2"/>
  <c r="D105" i="2" s="1"/>
  <c r="C105" i="2"/>
  <c r="F97" i="2"/>
  <c r="E97" i="2"/>
  <c r="D97" i="2" s="1"/>
  <c r="F99" i="2"/>
  <c r="E99" i="2"/>
  <c r="D99" i="2" s="1"/>
  <c r="F94" i="2"/>
  <c r="E94" i="2"/>
  <c r="D94" i="2" s="1"/>
  <c r="F63" i="2"/>
  <c r="F78" i="2"/>
  <c r="F80" i="2"/>
  <c r="E80" i="2"/>
  <c r="D80" i="2" s="1"/>
  <c r="E78" i="2"/>
  <c r="D78" i="2" s="1"/>
  <c r="E63" i="2"/>
  <c r="C63" i="2"/>
  <c r="C78" i="2"/>
  <c r="C80" i="2"/>
  <c r="F74" i="2"/>
  <c r="F84" i="2"/>
  <c r="F72" i="2"/>
  <c r="E84" i="2"/>
  <c r="D84" i="2" s="1"/>
  <c r="E74" i="2"/>
  <c r="D74" i="2" s="1"/>
  <c r="E72" i="2"/>
  <c r="D72" i="2" s="1"/>
  <c r="C84" i="2"/>
  <c r="C74" i="2"/>
  <c r="C72" i="2"/>
  <c r="F69" i="2"/>
  <c r="F83" i="2"/>
  <c r="E69" i="2"/>
  <c r="D69" i="2" s="1"/>
  <c r="E83" i="2"/>
  <c r="D83" i="2" s="1"/>
  <c r="C83" i="2"/>
  <c r="C69" i="2"/>
  <c r="F86" i="2"/>
  <c r="E86" i="2"/>
  <c r="D86" i="2" s="1"/>
  <c r="C86" i="2"/>
  <c r="F65" i="2"/>
  <c r="E65" i="2"/>
  <c r="D65" i="2" s="1"/>
  <c r="C65" i="2"/>
  <c r="F88" i="2"/>
  <c r="E88" i="2"/>
  <c r="D88" i="2" s="1"/>
  <c r="C88" i="2"/>
  <c r="F82" i="2"/>
  <c r="E82" i="2"/>
  <c r="D82" i="2" s="1"/>
  <c r="C82" i="2"/>
  <c r="F77" i="2"/>
  <c r="E77" i="2"/>
  <c r="D77" i="2" s="1"/>
  <c r="C77" i="2"/>
  <c r="C85" i="2"/>
  <c r="F64" i="2"/>
  <c r="E64" i="2"/>
  <c r="D64" i="2" s="1"/>
  <c r="C64" i="2"/>
  <c r="F68" i="2"/>
  <c r="E68" i="2"/>
  <c r="D68" i="2" s="1"/>
  <c r="C68" i="2"/>
  <c r="F87" i="2"/>
  <c r="E87" i="2"/>
  <c r="D87" i="2" s="1"/>
  <c r="C87" i="2"/>
  <c r="F66" i="2"/>
  <c r="E66" i="2"/>
  <c r="D66" i="2" s="1"/>
  <c r="C66" i="2"/>
  <c r="F81" i="2"/>
  <c r="E81" i="2"/>
  <c r="D81" i="2" s="1"/>
  <c r="C81" i="2"/>
  <c r="F76" i="2"/>
  <c r="E76" i="2"/>
  <c r="D76" i="2" s="1"/>
  <c r="C76" i="2"/>
  <c r="F73" i="2"/>
  <c r="E73" i="2"/>
  <c r="D73" i="2" s="1"/>
  <c r="C73" i="2"/>
  <c r="F71" i="2"/>
  <c r="E71" i="2"/>
  <c r="D71" i="2" s="1"/>
  <c r="C71" i="2"/>
  <c r="F75" i="2"/>
  <c r="E75" i="2"/>
  <c r="D75" i="2" s="1"/>
  <c r="C75" i="2"/>
  <c r="F70" i="2"/>
  <c r="E70" i="2"/>
  <c r="D70" i="2" s="1"/>
  <c r="C70" i="2"/>
  <c r="F67" i="2"/>
  <c r="E67" i="2"/>
  <c r="D67" i="2" s="1"/>
  <c r="C67" i="2"/>
  <c r="F79" i="2"/>
  <c r="E79" i="2"/>
  <c r="C79" i="2"/>
  <c r="C61" i="2"/>
  <c r="F23" i="2"/>
  <c r="E23" i="2"/>
  <c r="D23" i="2" s="1"/>
  <c r="C23" i="2"/>
  <c r="C22" i="2"/>
  <c r="F22" i="2"/>
  <c r="E22" i="2"/>
  <c r="D22" i="2" s="1"/>
  <c r="F45" i="2"/>
  <c r="E45" i="2"/>
  <c r="D45" i="2" s="1"/>
  <c r="F54" i="2"/>
  <c r="E54" i="2"/>
  <c r="D54" i="2" s="1"/>
  <c r="F58" i="2"/>
  <c r="E58" i="2"/>
  <c r="D58" i="2" s="1"/>
  <c r="E17" i="2"/>
  <c r="D17" i="2" s="1"/>
  <c r="F14" i="2"/>
  <c r="E14" i="2"/>
  <c r="D14" i="2" s="1"/>
  <c r="C14" i="2"/>
  <c r="F13" i="2"/>
  <c r="E13" i="2"/>
  <c r="E57" i="2"/>
  <c r="D57" i="2" s="1"/>
  <c r="F34" i="2"/>
  <c r="E34" i="2"/>
  <c r="D34" i="2" s="1"/>
  <c r="C26" i="2"/>
  <c r="E26" i="2"/>
  <c r="D26" i="2" s="1"/>
  <c r="F26" i="2"/>
  <c r="F28" i="2"/>
  <c r="E28" i="2"/>
  <c r="D28" i="2" s="1"/>
  <c r="F35" i="2"/>
  <c r="E35" i="2"/>
  <c r="D35" i="2" s="1"/>
  <c r="C35" i="2"/>
  <c r="F60" i="2"/>
  <c r="E60" i="2"/>
  <c r="D60" i="2" s="1"/>
  <c r="C60" i="2"/>
  <c r="F49" i="2"/>
  <c r="E49" i="2"/>
  <c r="D49" i="2" s="1"/>
  <c r="C49" i="2"/>
  <c r="F47" i="2"/>
  <c r="F50" i="2"/>
  <c r="E50" i="2"/>
  <c r="D50" i="2" s="1"/>
  <c r="E48" i="2"/>
  <c r="D48" i="2" s="1"/>
  <c r="E47" i="2"/>
  <c r="D47" i="2" s="1"/>
  <c r="C50" i="2"/>
  <c r="C48" i="2"/>
  <c r="C47" i="2"/>
  <c r="E29" i="2"/>
  <c r="D29" i="2" s="1"/>
  <c r="F30" i="2"/>
  <c r="E30" i="2"/>
  <c r="D30" i="2" s="1"/>
  <c r="F20" i="2"/>
  <c r="E20" i="2"/>
  <c r="D20" i="2" s="1"/>
  <c r="C20" i="2"/>
  <c r="F16" i="2"/>
  <c r="E16" i="2"/>
  <c r="D16" i="2" s="1"/>
  <c r="F39" i="2"/>
  <c r="E39" i="2"/>
  <c r="D39" i="2" s="1"/>
  <c r="C39" i="2"/>
  <c r="F52" i="2"/>
  <c r="E52" i="2"/>
  <c r="D52" i="2" s="1"/>
  <c r="F21" i="2"/>
  <c r="E21" i="2"/>
  <c r="D21" i="2" s="1"/>
  <c r="F46" i="2"/>
  <c r="E46" i="2"/>
  <c r="D46" i="2" s="1"/>
  <c r="C46" i="2"/>
  <c r="F41" i="2"/>
  <c r="E41" i="2"/>
  <c r="D41" i="2" s="1"/>
  <c r="F43" i="2"/>
  <c r="F40" i="2"/>
  <c r="E43" i="2"/>
  <c r="D43" i="2" s="1"/>
  <c r="E40" i="2"/>
  <c r="D40" i="2" s="1"/>
  <c r="F53" i="2"/>
  <c r="E53" i="2"/>
  <c r="D53" i="2" s="1"/>
  <c r="C53" i="2"/>
  <c r="F19" i="2"/>
  <c r="C19" i="2"/>
  <c r="E19" i="2"/>
  <c r="D19" i="2" s="1"/>
  <c r="F33" i="2"/>
  <c r="E33" i="2"/>
  <c r="D33" i="2" s="1"/>
  <c r="F51" i="2"/>
  <c r="E51" i="2"/>
  <c r="D51" i="2" s="1"/>
  <c r="F42" i="2"/>
  <c r="E42" i="2"/>
  <c r="D42" i="2" s="1"/>
  <c r="F24" i="2"/>
  <c r="F31" i="2"/>
  <c r="F36" i="2"/>
  <c r="E36" i="2"/>
  <c r="D36" i="2" s="1"/>
  <c r="E31" i="2"/>
  <c r="D31" i="2" s="1"/>
  <c r="E24" i="2"/>
  <c r="D24" i="2" s="1"/>
  <c r="F25" i="2"/>
  <c r="F32" i="2"/>
  <c r="F37" i="2"/>
  <c r="E37" i="2"/>
  <c r="D37" i="2" s="1"/>
  <c r="E32" i="2"/>
  <c r="D32" i="2" s="1"/>
  <c r="E25" i="2"/>
  <c r="D25" i="2" s="1"/>
  <c r="F56" i="2"/>
  <c r="E56" i="2"/>
  <c r="D56" i="2" s="1"/>
  <c r="C56" i="2"/>
  <c r="F18" i="2"/>
  <c r="E18" i="2"/>
  <c r="D18" i="2" s="1"/>
  <c r="F15" i="2"/>
  <c r="E15" i="2"/>
  <c r="D15" i="2" s="1"/>
  <c r="D61" i="2"/>
  <c r="F11" i="2"/>
  <c r="F10" i="2"/>
  <c r="F8" i="2"/>
  <c r="F9" i="2"/>
  <c r="E11" i="2"/>
  <c r="D11" i="2" s="1"/>
  <c r="E10" i="2"/>
  <c r="D10" i="2" s="1"/>
  <c r="E8" i="2"/>
  <c r="E9" i="2"/>
  <c r="D9" i="2" s="1"/>
  <c r="C11" i="2"/>
  <c r="C10" i="2"/>
  <c r="C8" i="2"/>
  <c r="C9" i="2"/>
  <c r="F62" i="2" l="1"/>
  <c r="D63" i="2"/>
  <c r="E62" i="2"/>
  <c r="C62" i="2"/>
  <c r="E12" i="2"/>
  <c r="F12" i="2"/>
  <c r="C12" i="2"/>
  <c r="D13" i="2"/>
  <c r="D12" i="2" s="1"/>
  <c r="C7" i="2"/>
  <c r="D8" i="2"/>
  <c r="D7" i="2" s="1"/>
  <c r="E7" i="2"/>
  <c r="F7" i="2"/>
  <c r="D79" i="2"/>
  <c r="D62" i="2" l="1"/>
  <c r="D115" i="2" s="1"/>
  <c r="C115" i="2" l="1"/>
  <c r="E115" i="2"/>
  <c r="F115" i="2"/>
</calcChain>
</file>

<file path=xl/sharedStrings.xml><?xml version="1.0" encoding="utf-8"?>
<sst xmlns="http://schemas.openxmlformats.org/spreadsheetml/2006/main" count="212" uniqueCount="198">
  <si>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</si>
  <si>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</si>
  <si>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</si>
  <si>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</si>
  <si>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</si>
  <si>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0130278010</t>
  </si>
  <si>
    <t>0130278020</t>
  </si>
  <si>
    <t>0130278050</t>
  </si>
  <si>
    <t>8800050100</t>
  </si>
  <si>
    <t>2. Субсидии - всего:</t>
  </si>
  <si>
    <t>1210374521</t>
  </si>
  <si>
    <t>1330374315</t>
  </si>
  <si>
    <t>1330374317</t>
  </si>
  <si>
    <t>1430271432</t>
  </si>
  <si>
    <t>1470271101</t>
  </si>
  <si>
    <t>2710274905</t>
  </si>
  <si>
    <t>28301R0230</t>
  </si>
  <si>
    <t>3. Субвенции - всего:</t>
  </si>
  <si>
    <t>0130278060</t>
  </si>
  <si>
    <t>0430879206</t>
  </si>
  <si>
    <t>0570577263</t>
  </si>
  <si>
    <t>0570579263</t>
  </si>
  <si>
    <t>1310374505</t>
  </si>
  <si>
    <t>1310379227</t>
  </si>
  <si>
    <t>1310379502</t>
  </si>
  <si>
    <t>1410171201</t>
  </si>
  <si>
    <t>1410271230</t>
  </si>
  <si>
    <t>1420171228</t>
  </si>
  <si>
    <t>1420371218</t>
  </si>
  <si>
    <t>1730372400</t>
  </si>
  <si>
    <t>1730379211</t>
  </si>
  <si>
    <t>8800051180</t>
  </si>
  <si>
    <t>8800051200</t>
  </si>
  <si>
    <t>8800079207</t>
  </si>
  <si>
    <t>8800079208</t>
  </si>
  <si>
    <t>8800079214</t>
  </si>
  <si>
    <t>4. Иные межбюджетные трансферты - всего</t>
  </si>
  <si>
    <t>8800000704</t>
  </si>
  <si>
    <t>8800009218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</si>
  <si>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</si>
  <si>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</si>
  <si>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</si>
  <si>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0130278181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</si>
  <si>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</si>
  <si>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</si>
  <si>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15106R4670</t>
  </si>
  <si>
    <t>Реализация мероприятий по устойчивому развитию сельских территорий в целях их благоустройства</t>
  </si>
  <si>
    <t>20102R5670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</si>
  <si>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</si>
  <si>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0820374102</t>
  </si>
  <si>
    <t>12301R4970</t>
  </si>
  <si>
    <t>15103R4660</t>
  </si>
  <si>
    <t>1490579230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</si>
  <si>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</si>
  <si>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</si>
  <si>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Осуществление государственных полномочий в области социальной защиты населения</t>
  </si>
  <si>
    <t>1730574581</t>
  </si>
  <si>
    <t>Осуществление государственных полномочий в сфере государственного управления</t>
  </si>
  <si>
    <t>24202R0270</t>
  </si>
  <si>
    <t>2010377670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</si>
  <si>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</si>
  <si>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1730579581</t>
  </si>
  <si>
    <t>8800079220</t>
  </si>
  <si>
    <t>1420171201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</si>
  <si>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</si>
  <si>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</si>
  <si>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20103R5670</t>
  </si>
  <si>
    <t>15102R5190</t>
  </si>
  <si>
    <t>15106R5190</t>
  </si>
  <si>
    <t>19703R5150</t>
  </si>
  <si>
    <t>20101R5670</t>
  </si>
  <si>
    <t>0130279205</t>
  </si>
  <si>
    <t>Сведения о предоставлении из бюджета Забайкальского края межбюджетных трансфертов местным бюджетам 
за 2019 год</t>
  </si>
  <si>
    <t>1920578182</t>
  </si>
  <si>
    <t>Дотации на выравнивание бюджетной обеспеченности муниципальных районов (городских округов)</t>
  </si>
  <si>
    <t>Дотации на выравнивание бюджетной обеспеченности поселений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</si>
  <si>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</si>
  <si>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</si>
  <si>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Cоздание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</si>
  <si>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141P25159F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</si>
  <si>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</si>
  <si>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145E452100</t>
  </si>
  <si>
    <t>Государственная поддержка малого и среднего предпринимательства в субъектах Российской Федерации</t>
  </si>
  <si>
    <t>032I555270</t>
  </si>
  <si>
    <t>Государственная поддержка отрасли культуры</t>
  </si>
  <si>
    <t>Мероприятия государственной программы Российской Федерации "Доступная среда"</t>
  </si>
  <si>
    <t>Мероприятия по переселению граждан из ветхого и аварийного жилья в зоне Байкало-Амурской магистрали</t>
  </si>
  <si>
    <t>Модернизация и закрытие котельных с их переводом на централизованное теплоснабжение</t>
  </si>
  <si>
    <t>082G474508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</si>
  <si>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</si>
  <si>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Обеспечение основных требований действующего законодательства в области антитеррористической безопасности образовательных организаций</t>
  </si>
  <si>
    <t>1410671440</t>
  </si>
  <si>
    <t>1420471440</t>
  </si>
  <si>
    <t>1430771440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</si>
  <si>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</si>
  <si>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1410671439</t>
  </si>
  <si>
    <t>1420471439</t>
  </si>
  <si>
    <t>1430771439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</si>
  <si>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</si>
  <si>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устойчивого развития сельских территорий</t>
  </si>
  <si>
    <t>201P555670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</si>
  <si>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</si>
  <si>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142E151690</t>
  </si>
  <si>
    <t>Осуществление городским округом "Город Чита" функций административного центра (столицы) Забайкальского края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</si>
  <si>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</si>
  <si>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</si>
  <si>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</si>
  <si>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Проектирование и строительство троллейбусных линий</t>
  </si>
  <si>
    <t>131G474506</t>
  </si>
  <si>
    <t>Развитие сети плоскостных спортивных сооружений в сельской местности</t>
  </si>
  <si>
    <t>201P573670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</si>
  <si>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</si>
  <si>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ликвидации мест несанкционированного размещения отходов</t>
  </si>
  <si>
    <t>0820177264</t>
  </si>
  <si>
    <t>Реализация мероприятий по обеспечению жильем молодых семей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</si>
  <si>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</si>
  <si>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1420471438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</si>
  <si>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</si>
  <si>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1420471436</t>
  </si>
  <si>
    <t>Реализация мероприятий по устойчивому развитию сельских территорий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</si>
  <si>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</si>
  <si>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</si>
  <si>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</si>
  <si>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142E250970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</si>
  <si>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</si>
  <si>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</si>
  <si>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</si>
  <si>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141P251590</t>
  </si>
  <si>
    <t>Создание новых мест в общеобразовательных организациях</t>
  </si>
  <si>
    <t>142E155200</t>
  </si>
  <si>
    <t>Строительство и реконструкция (модернизация) объектов питьевого водоснабжения</t>
  </si>
  <si>
    <t>272G552430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</si>
  <si>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</si>
  <si>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0130278180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</si>
  <si>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</si>
  <si>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272G574102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</si>
  <si>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</si>
  <si>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2420172270</t>
  </si>
  <si>
    <t>Субсидии на реализацию мероприятий проекта "Забайкалье - территория будущего"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</si>
  <si>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</si>
  <si>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</si>
  <si>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</si>
  <si>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</si>
  <si>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</si>
  <si>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</si>
  <si>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</si>
  <si>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</si>
  <si>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</si>
  <si>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</si>
  <si>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Организация проведения мероприятий по содержанию безнадзорных животных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</si>
  <si>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</si>
  <si>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</si>
  <si>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</si>
  <si>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</si>
  <si>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в области образования</t>
  </si>
  <si>
    <t>Осуществление государственных полномочий в сфере труда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</si>
  <si>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</si>
  <si>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</si>
  <si>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</si>
  <si>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</si>
  <si>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</si>
  <si>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</si>
  <si>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</si>
  <si>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Субвенция на предоставление дотаций поселениям на выравнивание бюджетной обеспеченности</t>
  </si>
  <si>
    <t>Капитальный ремонт зданий и помещений для реализации образовательных программ дошкольного образования</t>
  </si>
  <si>
    <t>1410271441</t>
  </si>
  <si>
    <t>Обеспечение оборудования зданий общеобразовательных организаций санитарно-гигиеническими помещениями с соблюдением температурного режима</t>
  </si>
  <si>
    <t>14204R6480</t>
  </si>
  <si>
    <t>Поддержка проектов, связанных с инновациями в образовании</t>
  </si>
  <si>
    <t>1420172354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</si>
  <si>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</si>
  <si>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</si>
  <si>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Предупреждение и ликвидация последствий чрезвычайных ситуаций и стихийных бедствий природного и техногенного характера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</si>
  <si>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</si>
  <si>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8800051040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</si>
  <si>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</si>
  <si>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133065505М</t>
  </si>
  <si>
    <t>141075505М</t>
  </si>
  <si>
    <t>142045505М</t>
  </si>
  <si>
    <t>151085505М</t>
  </si>
  <si>
    <t>184015505М</t>
  </si>
  <si>
    <t>272025505М</t>
  </si>
  <si>
    <t>291045505М</t>
  </si>
  <si>
    <t>14107Ц505М</t>
  </si>
  <si>
    <t>14204Ц505М</t>
  </si>
  <si>
    <t>15108Ц505М</t>
  </si>
  <si>
    <t>18401Ц505М</t>
  </si>
  <si>
    <t>27202Ц505М</t>
  </si>
  <si>
    <t>29104Ц505М</t>
  </si>
  <si>
    <t>Реализация мероприятий по восстановлению автомобильных дорог регионального, межмуниципального и местного значения при ликвидации последствий чрезвычайных ситуаций</t>
  </si>
  <si>
    <t>1330354790</t>
  </si>
  <si>
    <t>Резервные фонды исполнительных органов государственной власти субъекта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</si>
  <si>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</si>
  <si>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</si>
  <si>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Финансовое обеспечение дорожной деятельности</t>
  </si>
  <si>
    <t>1330353900</t>
  </si>
  <si>
    <t>151А155190</t>
  </si>
  <si>
    <t>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</si>
</sst>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2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8" fillId="0" borderId="17" xfId="9" applyNumberFormat="1" applyFont="1" applyFill="1" applyBorder="1" applyAlignment="1" applyProtection="1">
      <alignment horizontal="center" vertical="center" shrinkToFit="1"/>
    </xf>
    <xf numFmtId="0" fontId="8" fillId="0" borderId="28" xfId="9" applyNumberFormat="1" applyFont="1" applyFill="1" applyBorder="1" applyAlignment="1" applyProtection="1">
      <alignment horizontal="center" vertical="center" shrinkToFit="1"/>
    </xf>
    <xf numFmtId="0" fontId="8" fillId="0" borderId="19" xfId="8" applyNumberFormat="1" applyFont="1" applyFill="1" applyBorder="1" applyAlignment="1" applyProtection="1">
      <alignment horizontal="center" vertical="center"/>
    </xf>
    <xf numFmtId="0" fontId="8" fillId="0" borderId="19" xfId="2" applyNumberFormat="1" applyFont="1" applyFill="1" applyBorder="1" applyAlignment="1" applyProtection="1">
      <alignment horizontal="center" vertical="center"/>
    </xf>
    <xf numFmtId="0" fontId="8" fillId="0" borderId="20" xfId="2" applyNumberFormat="1" applyFont="1" applyFill="1" applyBorder="1" applyAlignment="1" applyProtection="1">
      <alignment horizontal="center" vertical="center"/>
    </xf>
    <xf numFmtId="0" fontId="8" fillId="0" borderId="15" xfId="10" applyNumberFormat="1" applyFont="1" applyFill="1" applyBorder="1" applyAlignment="1" applyProtection="1">
      <alignment horizontal="left" vertical="center" wrapText="1"/>
    </xf>
    <xf numFmtId="49" fontId="8" fillId="0" borderId="2" xfId="10" applyFont="1" applyFill="1" applyBorder="1" applyAlignment="1" applyProtection="1">
      <alignment horizontal="center" vertical="center" wrapText="1"/>
    </xf>
    <xf numFmtId="49" fontId="8" fillId="0" borderId="19" xfId="10" applyFont="1" applyFill="1" applyBorder="1" applyAlignment="1" applyProtection="1">
      <alignment horizontal="center" vertical="center" wrapText="1"/>
    </xf>
    <xf numFmtId="49" fontId="8" fillId="0" borderId="9" xfId="10" applyFont="1" applyFill="1" applyBorder="1" applyAlignment="1" applyProtection="1">
      <alignment horizontal="center" vertical="center" wrapText="1"/>
    </xf>
    <xf numFmtId="0" fontId="9" fillId="7" borderId="21" xfId="10" applyNumberFormat="1" applyFont="1" applyFill="1" applyBorder="1" applyAlignment="1" applyProtection="1">
      <alignment horizontal="left" vertical="center" wrapText="1"/>
    </xf>
    <xf numFmtId="49" fontId="9" fillId="7" borderId="13" xfId="10" applyFont="1" applyFill="1" applyBorder="1" applyAlignment="1" applyProtection="1">
      <alignment horizontal="center" vertical="center" wrapText="1"/>
    </xf>
    <xf numFmtId="49" fontId="9" fillId="7" borderId="11" xfId="10" applyFont="1" applyFill="1" applyBorder="1" applyAlignment="1" applyProtection="1">
      <alignment horizontal="left" vertical="center" wrapText="1"/>
    </xf>
    <xf numFmtId="49" fontId="8" fillId="7" borderId="12" xfId="10" applyFont="1" applyFill="1" applyBorder="1" applyAlignment="1" applyProtection="1">
      <alignment horizontal="left" vertical="center" wrapText="1"/>
    </xf>
    <xf numFmtId="0" fontId="8" fillId="0" borderId="30" xfId="10" applyNumberFormat="1" applyFont="1" applyFill="1" applyBorder="1" applyAlignment="1" applyProtection="1">
      <alignment horizontal="left" vertical="center" wrapText="1"/>
    </xf>
    <xf numFmtId="0" fontId="8" fillId="0" borderId="25" xfId="10" applyNumberFormat="1" applyFont="1" applyFill="1" applyBorder="1" applyAlignment="1" applyProtection="1">
      <alignment horizontal="left" vertical="center" wrapText="1"/>
    </xf>
    <xf numFmtId="0" fontId="8" fillId="0" borderId="29" xfId="10" applyNumberFormat="1" applyFont="1" applyFill="1" applyBorder="1" applyAlignment="1" applyProtection="1">
      <alignment vertical="center" wrapText="1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9" fillId="6" borderId="35" xfId="12" applyNumberFormat="1" applyFont="1" applyFill="1" applyBorder="1" applyAlignment="1" applyProtection="1">
      <alignment horizontal="left" vertical="center"/>
    </xf>
    <xf numFmtId="0" fontId="9" fillId="6" borderId="36" xfId="12" applyNumberFormat="1" applyFont="1" applyFill="1" applyBorder="1" applyAlignment="1" applyProtection="1">
      <alignment horizontal="left" vertical="center"/>
    </xf>
    <xf numFmtId="0" fontId="9" fillId="7" borderId="11" xfId="10" applyNumberFormat="1" applyFont="1" applyFill="1" applyBorder="1" applyAlignment="1" applyProtection="1">
      <alignment horizontal="left" vertical="center" wrapText="1"/>
    </xf>
    <xf numFmtId="49" fontId="9" fillId="7" borderId="12" xfId="10" applyFont="1" applyFill="1" applyBorder="1" applyAlignment="1" applyProtection="1">
      <alignment horizontal="center" vertical="center" wrapText="1"/>
    </xf>
    <xf numFmtId="0" fontId="8" fillId="0" borderId="17" xfId="10" applyNumberFormat="1" applyFont="1" applyFill="1" applyBorder="1" applyAlignment="1" applyProtection="1">
      <alignment horizontal="left" vertical="center" wrapText="1"/>
    </xf>
    <xf numFmtId="49" fontId="8" fillId="0" borderId="18" xfId="10" applyFont="1" applyFill="1" applyBorder="1" applyAlignment="1" applyProtection="1">
      <alignment horizontal="center" vertical="center" wrapText="1"/>
    </xf>
    <xf numFmtId="0" fontId="8" fillId="0" borderId="22" xfId="10" applyNumberFormat="1" applyFont="1" applyFill="1" applyBorder="1" applyAlignment="1" applyProtection="1">
      <alignment horizontal="left" vertical="center" wrapText="1"/>
    </xf>
    <xf numFmtId="49" fontId="8" fillId="0" borderId="7" xfId="10" applyFont="1" applyFill="1" applyBorder="1" applyAlignment="1" applyProtection="1">
      <alignment horizontal="center" vertical="center" wrapText="1"/>
    </xf>
    <xf numFmtId="0" fontId="8" fillId="0" borderId="22" xfId="10" applyNumberFormat="1" applyFont="1" applyFill="1" applyBorder="1" applyAlignment="1" applyProtection="1">
      <alignment vertical="center" wrapText="1"/>
    </xf>
    <xf numFmtId="0" fontId="8" fillId="0" borderId="23" xfId="10" applyNumberFormat="1" applyFont="1" applyFill="1" applyBorder="1" applyAlignment="1" applyProtection="1">
      <alignment vertical="center" wrapText="1"/>
    </xf>
    <xf numFmtId="0" fontId="8" fillId="0" borderId="25" xfId="10" applyNumberFormat="1" applyFont="1" applyFill="1" applyBorder="1" applyAlignment="1" applyProtection="1">
      <alignment vertical="center" wrapText="1"/>
    </xf>
    <xf numFmtId="49" fontId="8" fillId="0" borderId="33" xfId="10" applyFont="1" applyFill="1" applyBorder="1" applyAlignment="1" applyProtection="1">
      <alignment horizontal="center" vertical="center" wrapText="1"/>
    </xf>
    <xf numFmtId="49" fontId="8" fillId="0" borderId="34" xfId="10" applyFont="1" applyFill="1" applyBorder="1" applyAlignment="1" applyProtection="1">
      <alignment horizontal="center" vertical="center" wrapText="1"/>
    </xf>
    <xf numFmtId="0" fontId="8" fillId="5" borderId="1" xfId="6" applyNumberFormat="1" applyFont="1" applyFill="1" applyAlignment="1" applyProtection="1">
      <alignment horizontal="right" vertical="center"/>
    </xf>
    <xf numFmtId="164" fontId="9" fillId="7" borderId="13" xfId="8" applyNumberFormat="1" applyFont="1" applyFill="1" applyBorder="1" applyAlignment="1" applyProtection="1">
      <alignment horizontal="center" vertical="center"/>
    </xf>
    <xf numFmtId="164" fontId="9" fillId="7" borderId="14" xfId="8" applyNumberFormat="1" applyFont="1" applyFill="1" applyBorder="1" applyAlignment="1" applyProtection="1">
      <alignment horizontal="center" vertical="center"/>
    </xf>
    <xf numFmtId="164" fontId="8" fillId="0" borderId="7" xfId="8" applyNumberFormat="1" applyFont="1" applyFill="1" applyBorder="1" applyAlignment="1" applyProtection="1">
      <alignment horizontal="center" vertical="center"/>
    </xf>
    <xf numFmtId="164" fontId="8" fillId="0" borderId="7" xfId="2" applyNumberFormat="1" applyFont="1" applyFill="1" applyBorder="1" applyAlignment="1" applyProtection="1">
      <alignment horizontal="center" vertical="center"/>
    </xf>
    <xf numFmtId="164" fontId="8" fillId="0" borderId="16" xfId="2" applyNumberFormat="1" applyFont="1" applyFill="1" applyBorder="1" applyAlignment="1" applyProtection="1">
      <alignment horizontal="center" vertical="center"/>
    </xf>
    <xf numFmtId="164" fontId="8" fillId="0" borderId="19" xfId="8" applyNumberFormat="1" applyFont="1" applyFill="1" applyBorder="1" applyAlignment="1" applyProtection="1">
      <alignment horizontal="center" vertical="center"/>
    </xf>
    <xf numFmtId="164" fontId="8" fillId="0" borderId="19" xfId="2" applyNumberFormat="1" applyFont="1" applyFill="1" applyBorder="1" applyAlignment="1" applyProtection="1">
      <alignment horizontal="center" vertical="center"/>
    </xf>
    <xf numFmtId="164" fontId="8" fillId="0" borderId="20" xfId="2" applyNumberFormat="1" applyFont="1" applyFill="1" applyBorder="1" applyAlignment="1" applyProtection="1">
      <alignment horizontal="center" vertical="center"/>
    </xf>
    <xf numFmtId="164" fontId="9" fillId="7" borderId="13" xfId="2" applyNumberFormat="1" applyFont="1" applyFill="1" applyBorder="1" applyAlignment="1" applyProtection="1">
      <alignment horizontal="center" vertical="center"/>
    </xf>
    <xf numFmtId="164" fontId="9" fillId="7" borderId="14" xfId="2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/>
      <protection locked="0" hidden="1"/>
    </xf>
    <xf numFmtId="164" fontId="11" fillId="0" borderId="7" xfId="8" applyNumberFormat="1" applyFont="1" applyFill="1" applyBorder="1" applyAlignment="1" applyProtection="1">
      <alignment horizontal="center" vertical="center"/>
    </xf>
    <xf numFmtId="164" fontId="8" fillId="0" borderId="20" xfId="8" applyNumberFormat="1" applyFont="1" applyFill="1" applyBorder="1" applyAlignment="1" applyProtection="1">
      <alignment horizontal="center" vertical="center"/>
    </xf>
    <xf numFmtId="164" fontId="8" fillId="0" borderId="10" xfId="2" applyNumberFormat="1" applyFont="1" applyFill="1" applyBorder="1" applyAlignment="1" applyProtection="1">
      <alignment horizontal="center" vertical="center"/>
    </xf>
    <xf numFmtId="164" fontId="8" fillId="0" borderId="31" xfId="2" applyNumberFormat="1" applyFont="1" applyFill="1" applyBorder="1" applyAlignment="1" applyProtection="1">
      <alignment horizontal="center" vertical="center"/>
    </xf>
    <xf numFmtId="164" fontId="8" fillId="0" borderId="37" xfId="2" applyNumberFormat="1" applyFont="1" applyFill="1" applyBorder="1" applyAlignment="1" applyProtection="1">
      <alignment horizontal="center" vertical="center"/>
    </xf>
    <xf numFmtId="164" fontId="9" fillId="6" borderId="37" xfId="2" applyNumberFormat="1" applyFont="1" applyFill="1" applyBorder="1" applyAlignment="1" applyProtection="1">
      <alignment horizontal="center" vertical="center"/>
    </xf>
    <xf numFmtId="164" fontId="9" fillId="6" borderId="38" xfId="2" applyNumberFormat="1" applyFont="1" applyFill="1" applyBorder="1" applyAlignment="1" applyProtection="1">
      <alignment horizontal="center" vertical="center"/>
    </xf>
    <xf numFmtId="0" fontId="8" fillId="0" borderId="29" xfId="10" applyNumberFormat="1" applyFont="1" applyFill="1" applyBorder="1" applyAlignment="1" applyProtection="1">
      <alignment horizontal="left" vertical="center" wrapText="1"/>
    </xf>
    <xf numFmtId="0" fontId="8" fillId="0" borderId="39" xfId="10" applyNumberFormat="1" applyFont="1" applyFill="1" applyBorder="1" applyAlignment="1" applyProtection="1">
      <alignment horizontal="left" vertical="center" wrapText="1"/>
    </xf>
    <xf numFmtId="0" fontId="8" fillId="0" borderId="40" xfId="10" applyNumberFormat="1" applyFont="1" applyFill="1" applyBorder="1" applyAlignment="1" applyProtection="1">
      <alignment horizontal="left" vertical="center" wrapText="1"/>
    </xf>
    <xf numFmtId="0" fontId="8" fillId="0" borderId="32" xfId="10" applyNumberFormat="1" applyFont="1" applyFill="1" applyBorder="1" applyAlignment="1" applyProtection="1">
      <alignment horizontal="left" vertical="center" wrapText="1"/>
    </xf>
    <xf numFmtId="0" fontId="8" fillId="0" borderId="7" xfId="10" applyNumberFormat="1" applyFont="1" applyFill="1" applyBorder="1" applyAlignment="1" applyProtection="1">
      <alignment horizontal="left" vertical="center" wrapText="1"/>
    </xf>
    <xf numFmtId="0" fontId="8" fillId="0" borderId="23" xfId="10" applyNumberFormat="1" applyFont="1" applyFill="1" applyBorder="1" applyAlignment="1" applyProtection="1">
      <alignment horizontal="left" vertical="center" wrapText="1"/>
    </xf>
    <xf numFmtId="0" fontId="8" fillId="0" borderId="24" xfId="10" applyNumberFormat="1" applyFont="1" applyFill="1" applyBorder="1" applyAlignment="1" applyProtection="1">
      <alignment horizontal="left" vertical="center" wrapText="1"/>
    </xf>
    <xf numFmtId="0" fontId="8" fillId="0" borderId="12" xfId="7" applyNumberFormat="1" applyFont="1" applyFill="1" applyBorder="1" applyAlignment="1" applyProtection="1">
      <alignment horizontal="center" vertical="center" wrapText="1"/>
    </xf>
    <xf numFmtId="0" fontId="8" fillId="0" borderId="8" xfId="7" applyFont="1" applyFill="1" applyBorder="1" applyAlignment="1" applyProtection="1">
      <alignment horizontal="center" vertical="center" wrapText="1"/>
      <protection locked="0"/>
    </xf>
    <xf numFmtId="0" fontId="8" fillId="0" borderId="26" xfId="7" applyNumberFormat="1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  <protection locked="0"/>
    </xf>
    <xf numFmtId="0" fontId="10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8" fillId="0" borderId="11" xfId="7" applyNumberFormat="1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  <protection locked="0"/>
    </xf>
    <xf numFmtId="0" fontId="8" fillId="0" borderId="2" xfId="7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120"/>
  <sheetViews>
    <sheetView showGridLines="0" tabSelected="1" zoomScaleNormal="100" zoomScaleSheetLayoutView="100" workbookViewId="0">
      <pane ySplit="6" topLeftCell="A7" activePane="bottomLeft" state="frozen"/>
      <selection pane="bottomLeft" activeCell="F4" sqref="F4:F5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8" ht="46.5" customHeight="1" x14ac:dyDescent="0.25">
      <c r="A1" s="78" t="s">
        <v>72</v>
      </c>
      <c r="B1" s="78"/>
      <c r="C1" s="78"/>
      <c r="D1" s="78"/>
      <c r="E1" s="78"/>
      <c r="F1" s="78"/>
      <c r="G1" s="1"/>
    </row>
    <row r="2" spans="1:8" ht="15.75" x14ac:dyDescent="0.25">
      <c r="A2" s="79"/>
      <c r="B2" s="79"/>
      <c r="C2" s="79"/>
      <c r="D2" s="79"/>
      <c r="E2" s="79"/>
      <c r="F2" s="79"/>
      <c r="G2" s="1"/>
    </row>
    <row r="3" spans="1:8" ht="15.75" thickBot="1" x14ac:dyDescent="0.3">
      <c r="A3" s="80"/>
      <c r="B3" s="81"/>
      <c r="C3" s="7"/>
      <c r="D3" s="7"/>
      <c r="E3" s="7"/>
      <c r="F3" s="48" t="s">
        <v>197</v>
      </c>
      <c r="G3" s="3"/>
      <c r="H3" s="85"/>
    </row>
    <row r="4" spans="1:8" ht="15" customHeight="1" x14ac:dyDescent="0.25">
      <c r="A4" s="82" t="s">
        <v>0</v>
      </c>
      <c r="B4" s="74" t="s">
        <v>39</v>
      </c>
      <c r="C4" s="74" t="s">
        <v>1</v>
      </c>
      <c r="D4" s="74" t="s">
        <v>2</v>
      </c>
      <c r="E4" s="74" t="s">
        <v>41</v>
      </c>
      <c r="F4" s="76" t="s">
        <v>3</v>
      </c>
      <c r="G4" s="4"/>
      <c r="H4" s="85"/>
    </row>
    <row r="5" spans="1:8" ht="17.25" customHeight="1" x14ac:dyDescent="0.25">
      <c r="A5" s="83"/>
      <c r="B5" s="84"/>
      <c r="C5" s="75"/>
      <c r="D5" s="75"/>
      <c r="E5" s="75"/>
      <c r="F5" s="77"/>
      <c r="G5" s="4"/>
      <c r="H5" s="85"/>
    </row>
    <row r="6" spans="1:8" ht="15.75" thickBot="1" x14ac:dyDescent="0.3">
      <c r="A6" s="17">
        <v>1</v>
      </c>
      <c r="B6" s="18">
        <v>2</v>
      </c>
      <c r="C6" s="19">
        <v>3</v>
      </c>
      <c r="D6" s="19">
        <v>4</v>
      </c>
      <c r="E6" s="20">
        <v>5</v>
      </c>
      <c r="F6" s="21">
        <v>6</v>
      </c>
      <c r="G6" s="4"/>
      <c r="H6" s="85"/>
    </row>
    <row r="7" spans="1:8" ht="19.5" customHeight="1" x14ac:dyDescent="0.25">
      <c r="A7" s="28" t="s">
        <v>4</v>
      </c>
      <c r="B7" s="29"/>
      <c r="C7" s="49">
        <f>SUM(C8:C11)</f>
        <v>4651724.5</v>
      </c>
      <c r="D7" s="49">
        <f t="shared" ref="D7:F7" si="0">SUM(D8:D11)</f>
        <v>5619707</v>
      </c>
      <c r="E7" s="49">
        <f t="shared" si="0"/>
        <v>5619707</v>
      </c>
      <c r="F7" s="50">
        <f t="shared" si="0"/>
        <v>5619412.6117199995</v>
      </c>
      <c r="G7" s="4"/>
      <c r="H7" s="85"/>
    </row>
    <row r="8" spans="1:8" s="34" customFormat="1" ht="21" customHeight="1" outlineLevel="1" x14ac:dyDescent="0.25">
      <c r="A8" s="22" t="s">
        <v>75</v>
      </c>
      <c r="B8" s="23" t="s">
        <v>5</v>
      </c>
      <c r="C8" s="51">
        <f>58708000/1000</f>
        <v>58708</v>
      </c>
      <c r="D8" s="52">
        <f>E8</f>
        <v>58708</v>
      </c>
      <c r="E8" s="52">
        <f>58708000/1000</f>
        <v>58708</v>
      </c>
      <c r="F8" s="53">
        <f>58708000/1000</f>
        <v>58708</v>
      </c>
      <c r="G8" s="33"/>
      <c r="H8" s="85"/>
    </row>
    <row r="9" spans="1:8" s="34" customFormat="1" ht="30" customHeight="1" outlineLevel="1" x14ac:dyDescent="0.25">
      <c r="A9" s="22" t="s">
        <v>74</v>
      </c>
      <c r="B9" s="23" t="s">
        <v>6</v>
      </c>
      <c r="C9" s="51">
        <f>4458483000/1000</f>
        <v>4458483</v>
      </c>
      <c r="D9" s="52">
        <f>E9</f>
        <v>4458483</v>
      </c>
      <c r="E9" s="52">
        <f>4458483000/1000</f>
        <v>4458483</v>
      </c>
      <c r="F9" s="53">
        <f>4458483000/1000</f>
        <v>4458483</v>
      </c>
      <c r="G9" s="33"/>
      <c r="H9" s="85"/>
    </row>
    <row r="10" spans="1:8" s="34" customFormat="1" ht="38.25" outlineLevel="1" x14ac:dyDescent="0.25">
      <c r="A10" s="22" t="s">
        <v>76</v>
      </c>
      <c r="B10" s="23" t="s">
        <v>7</v>
      </c>
      <c r="C10" s="51">
        <f>105755500/1000</f>
        <v>105755.5</v>
      </c>
      <c r="D10" s="52">
        <f t="shared" ref="D10:D11" si="1">E10</f>
        <v>1073738</v>
      </c>
      <c r="E10" s="52">
        <f>1073738000/1000</f>
        <v>1073738</v>
      </c>
      <c r="F10" s="53">
        <f>1073443611.72/1000</f>
        <v>1073443.6117199999</v>
      </c>
      <c r="G10" s="33"/>
      <c r="H10" s="85"/>
    </row>
    <row r="11" spans="1:8" s="34" customFormat="1" ht="39" outlineLevel="1" thickBot="1" x14ac:dyDescent="0.3">
      <c r="A11" s="39" t="s">
        <v>77</v>
      </c>
      <c r="B11" s="40" t="s">
        <v>8</v>
      </c>
      <c r="C11" s="54">
        <f>28778000/1000</f>
        <v>28778</v>
      </c>
      <c r="D11" s="55">
        <f t="shared" si="1"/>
        <v>28778</v>
      </c>
      <c r="E11" s="55">
        <f>28778000/1000</f>
        <v>28778</v>
      </c>
      <c r="F11" s="56">
        <f>28778000/1000</f>
        <v>28778</v>
      </c>
      <c r="G11" s="33"/>
      <c r="H11" s="85"/>
    </row>
    <row r="12" spans="1:8" ht="20.25" customHeight="1" x14ac:dyDescent="0.25">
      <c r="A12" s="26" t="s">
        <v>9</v>
      </c>
      <c r="B12" s="27"/>
      <c r="C12" s="57">
        <f>SUM(C13:C61)</f>
        <v>2586965.3590000002</v>
      </c>
      <c r="D12" s="57">
        <f t="shared" ref="D12:F12" si="2">SUM(D13:D61)</f>
        <v>7285329.3780500004</v>
      </c>
      <c r="E12" s="57">
        <f t="shared" si="2"/>
        <v>7285329.3780500004</v>
      </c>
      <c r="F12" s="58">
        <f t="shared" si="2"/>
        <v>6403441.6047700001</v>
      </c>
      <c r="G12" s="4"/>
      <c r="H12" s="85"/>
    </row>
    <row r="13" spans="1:8" s="34" customFormat="1" ht="82.5" customHeight="1" outlineLevel="1" x14ac:dyDescent="0.25">
      <c r="A13" s="41" t="s">
        <v>132</v>
      </c>
      <c r="B13" s="42" t="s">
        <v>133</v>
      </c>
      <c r="C13" s="51">
        <v>0</v>
      </c>
      <c r="D13" s="52">
        <f t="shared" ref="D13:D37" si="3">E13</f>
        <v>2201490.6</v>
      </c>
      <c r="E13" s="52">
        <f>2201490600/1000</f>
        <v>2201490.6</v>
      </c>
      <c r="F13" s="53">
        <f>2201490600/1000</f>
        <v>2201490.6</v>
      </c>
      <c r="G13" s="33"/>
      <c r="H13" s="85"/>
    </row>
    <row r="14" spans="1:8" s="34" customFormat="1" ht="38.25" outlineLevel="1" x14ac:dyDescent="0.25">
      <c r="A14" s="41" t="s">
        <v>134</v>
      </c>
      <c r="B14" s="42" t="s">
        <v>42</v>
      </c>
      <c r="C14" s="59">
        <f>343000000/1000</f>
        <v>343000</v>
      </c>
      <c r="D14" s="52">
        <f t="shared" si="3"/>
        <v>841518</v>
      </c>
      <c r="E14" s="52">
        <f>841518000/1000</f>
        <v>841518</v>
      </c>
      <c r="F14" s="53">
        <f>841517989.68/1000</f>
        <v>841517.98968</v>
      </c>
      <c r="G14" s="33"/>
      <c r="H14" s="85"/>
    </row>
    <row r="15" spans="1:8" s="34" customFormat="1" ht="28.5" customHeight="1" outlineLevel="1" x14ac:dyDescent="0.25">
      <c r="A15" s="41" t="s">
        <v>82</v>
      </c>
      <c r="B15" s="42" t="s">
        <v>83</v>
      </c>
      <c r="C15" s="51">
        <v>0</v>
      </c>
      <c r="D15" s="52">
        <f t="shared" si="3"/>
        <v>3000</v>
      </c>
      <c r="E15" s="52">
        <f>3000000/1000</f>
        <v>3000</v>
      </c>
      <c r="F15" s="53">
        <f>3000000/1000</f>
        <v>3000</v>
      </c>
      <c r="G15" s="33"/>
      <c r="H15" s="85"/>
    </row>
    <row r="16" spans="1:8" s="34" customFormat="1" ht="36.75" customHeight="1" outlineLevel="1" x14ac:dyDescent="0.25">
      <c r="A16" s="43" t="s">
        <v>112</v>
      </c>
      <c r="B16" s="42" t="s">
        <v>113</v>
      </c>
      <c r="C16" s="51">
        <v>0</v>
      </c>
      <c r="D16" s="52">
        <f t="shared" si="3"/>
        <v>449010</v>
      </c>
      <c r="E16" s="52">
        <f>449010000/1000</f>
        <v>449010</v>
      </c>
      <c r="F16" s="53">
        <f>189650606.37/1000</f>
        <v>189650.60636999999</v>
      </c>
      <c r="G16" s="33"/>
      <c r="H16" s="85"/>
    </row>
    <row r="17" spans="1:8" s="34" customFormat="1" ht="56.25" customHeight="1" outlineLevel="1" x14ac:dyDescent="0.25">
      <c r="A17" s="44" t="s">
        <v>48</v>
      </c>
      <c r="B17" s="42" t="s">
        <v>49</v>
      </c>
      <c r="C17" s="59">
        <v>0</v>
      </c>
      <c r="D17" s="52">
        <f t="shared" si="3"/>
        <v>908</v>
      </c>
      <c r="E17" s="52">
        <f>908000/1000</f>
        <v>908</v>
      </c>
      <c r="F17" s="53">
        <v>0</v>
      </c>
      <c r="G17" s="33"/>
      <c r="H17" s="85"/>
    </row>
    <row r="18" spans="1:8" s="34" customFormat="1" ht="25.5" outlineLevel="1" x14ac:dyDescent="0.25">
      <c r="A18" s="41" t="s">
        <v>87</v>
      </c>
      <c r="B18" s="42" t="s">
        <v>88</v>
      </c>
      <c r="C18" s="51">
        <v>0</v>
      </c>
      <c r="D18" s="52">
        <f t="shared" si="3"/>
        <v>3159.3</v>
      </c>
      <c r="E18" s="52">
        <f>3159300/1000</f>
        <v>3159.3</v>
      </c>
      <c r="F18" s="53">
        <f>3159300/1000</f>
        <v>3159.3</v>
      </c>
      <c r="G18" s="33"/>
      <c r="H18" s="85"/>
    </row>
    <row r="19" spans="1:8" s="34" customFormat="1" ht="30" customHeight="1" outlineLevel="1" x14ac:dyDescent="0.25">
      <c r="A19" s="41" t="s">
        <v>103</v>
      </c>
      <c r="B19" s="42" t="s">
        <v>10</v>
      </c>
      <c r="C19" s="51">
        <f>50000000/1000</f>
        <v>50000</v>
      </c>
      <c r="D19" s="52">
        <f t="shared" si="3"/>
        <v>80000</v>
      </c>
      <c r="E19" s="52">
        <f>80000000/1000</f>
        <v>80000</v>
      </c>
      <c r="F19" s="53">
        <f>80000000/1000</f>
        <v>80000</v>
      </c>
      <c r="G19" s="33"/>
      <c r="H19" s="85"/>
    </row>
    <row r="20" spans="1:8" s="34" customFormat="1" ht="25.5" outlineLevel="1" x14ac:dyDescent="0.25">
      <c r="A20" s="43" t="s">
        <v>114</v>
      </c>
      <c r="B20" s="42" t="s">
        <v>50</v>
      </c>
      <c r="C20" s="51">
        <f>38756300/1000</f>
        <v>38756.300000000003</v>
      </c>
      <c r="D20" s="52">
        <f t="shared" si="3"/>
        <v>38756.300000000003</v>
      </c>
      <c r="E20" s="52">
        <f>38756300/1000</f>
        <v>38756.300000000003</v>
      </c>
      <c r="F20" s="53">
        <f>38387623.59/1000</f>
        <v>38387.623590000003</v>
      </c>
      <c r="G20" s="33"/>
      <c r="H20" s="85"/>
    </row>
    <row r="21" spans="1:8" s="34" customFormat="1" ht="21" customHeight="1" outlineLevel="1" x14ac:dyDescent="0.25">
      <c r="A21" s="43" t="s">
        <v>107</v>
      </c>
      <c r="B21" s="42" t="s">
        <v>108</v>
      </c>
      <c r="C21" s="51">
        <v>0</v>
      </c>
      <c r="D21" s="52">
        <f t="shared" si="3"/>
        <v>29319.996999999999</v>
      </c>
      <c r="E21" s="52">
        <f>29319997/1000</f>
        <v>29319.996999999999</v>
      </c>
      <c r="F21" s="53">
        <f>26036768.31/1000</f>
        <v>26036.768309999999</v>
      </c>
      <c r="G21" s="33"/>
      <c r="H21" s="85"/>
    </row>
    <row r="22" spans="1:8" s="34" customFormat="1" ht="74.25" customHeight="1" outlineLevel="1" x14ac:dyDescent="0.25">
      <c r="A22" s="41" t="s">
        <v>139</v>
      </c>
      <c r="B22" s="42" t="s">
        <v>11</v>
      </c>
      <c r="C22" s="59">
        <f>113816425/1000</f>
        <v>113816.425</v>
      </c>
      <c r="D22" s="52">
        <f t="shared" si="3"/>
        <v>113816.425</v>
      </c>
      <c r="E22" s="52">
        <f>113816425/1000</f>
        <v>113816.425</v>
      </c>
      <c r="F22" s="53">
        <f>88764257.75/1000</f>
        <v>88764.257750000004</v>
      </c>
      <c r="G22" s="33"/>
      <c r="H22" s="85"/>
    </row>
    <row r="23" spans="1:8" s="34" customFormat="1" ht="69.75" customHeight="1" outlineLevel="1" x14ac:dyDescent="0.25">
      <c r="A23" s="43" t="s">
        <v>140</v>
      </c>
      <c r="B23" s="42" t="s">
        <v>12</v>
      </c>
      <c r="C23" s="51">
        <f>327701810/1000</f>
        <v>327701.81</v>
      </c>
      <c r="D23" s="52">
        <f t="shared" si="3"/>
        <v>314083.06750999996</v>
      </c>
      <c r="E23" s="52">
        <f>314083067.51/1000</f>
        <v>314083.06750999996</v>
      </c>
      <c r="F23" s="53">
        <f>255108039.02/1000</f>
        <v>255108.03902</v>
      </c>
      <c r="G23" s="33"/>
      <c r="H23" s="85"/>
    </row>
    <row r="24" spans="1:8" s="34" customFormat="1" ht="25.5" customHeight="1" outlineLevel="1" x14ac:dyDescent="0.25">
      <c r="A24" s="44" t="s">
        <v>94</v>
      </c>
      <c r="B24" s="42" t="s">
        <v>95</v>
      </c>
      <c r="C24" s="51">
        <v>0</v>
      </c>
      <c r="D24" s="52">
        <f t="shared" si="3"/>
        <v>86069.8</v>
      </c>
      <c r="E24" s="52">
        <f>86069800/1000</f>
        <v>86069.8</v>
      </c>
      <c r="F24" s="53">
        <f>84327749.5/1000</f>
        <v>84327.749500000005</v>
      </c>
      <c r="G24" s="33"/>
      <c r="H24" s="85"/>
    </row>
    <row r="25" spans="1:8" s="34" customFormat="1" ht="53.25" customHeight="1" outlineLevel="1" x14ac:dyDescent="0.25">
      <c r="A25" s="44" t="s">
        <v>90</v>
      </c>
      <c r="B25" s="42" t="s">
        <v>91</v>
      </c>
      <c r="C25" s="51">
        <v>0</v>
      </c>
      <c r="D25" s="52">
        <f t="shared" si="3"/>
        <v>61873.5</v>
      </c>
      <c r="E25" s="52">
        <f>61873500/1000</f>
        <v>61873.5</v>
      </c>
      <c r="F25" s="53">
        <f>61198553.54/1000</f>
        <v>61198.553540000001</v>
      </c>
      <c r="G25" s="33"/>
      <c r="H25" s="85"/>
    </row>
    <row r="26" spans="1:8" s="34" customFormat="1" ht="63" customHeight="1" outlineLevel="1" x14ac:dyDescent="0.25">
      <c r="A26" s="43" t="s">
        <v>126</v>
      </c>
      <c r="B26" s="42" t="s">
        <v>127</v>
      </c>
      <c r="C26" s="51">
        <f>386398400/1000</f>
        <v>386398.4</v>
      </c>
      <c r="D26" s="52">
        <f t="shared" si="3"/>
        <v>585854.57832000009</v>
      </c>
      <c r="E26" s="52">
        <f>585854578.32/1000</f>
        <v>585854.57832000009</v>
      </c>
      <c r="F26" s="53">
        <f>579104600.48/1000</f>
        <v>579104.60048000002</v>
      </c>
      <c r="G26" s="33"/>
      <c r="H26" s="85"/>
    </row>
    <row r="27" spans="1:8" s="34" customFormat="1" ht="70.5" customHeight="1" outlineLevel="1" x14ac:dyDescent="0.25">
      <c r="A27" s="43" t="s">
        <v>78</v>
      </c>
      <c r="B27" s="42" t="s">
        <v>79</v>
      </c>
      <c r="C27" s="51">
        <v>0</v>
      </c>
      <c r="D27" s="52">
        <f t="shared" si="3"/>
        <v>25702.659620000002</v>
      </c>
      <c r="E27" s="52">
        <f>25702659.62/1000</f>
        <v>25702.659620000002</v>
      </c>
      <c r="F27" s="53">
        <f>25702659.62/1000</f>
        <v>25702.659620000002</v>
      </c>
      <c r="G27" s="33"/>
      <c r="H27" s="85"/>
    </row>
    <row r="28" spans="1:8" s="34" customFormat="1" ht="55.5" customHeight="1" outlineLevel="1" x14ac:dyDescent="0.25">
      <c r="A28" s="43" t="s">
        <v>124</v>
      </c>
      <c r="B28" s="42" t="s">
        <v>125</v>
      </c>
      <c r="C28" s="51">
        <v>0</v>
      </c>
      <c r="D28" s="52">
        <f t="shared" si="3"/>
        <v>577624.26705999998</v>
      </c>
      <c r="E28" s="52">
        <f>577624267.06/1000</f>
        <v>577624.26705999998</v>
      </c>
      <c r="F28" s="53">
        <f>339812297.79/1000</f>
        <v>339812.29779000004</v>
      </c>
      <c r="G28" s="33"/>
      <c r="H28" s="85"/>
    </row>
    <row r="29" spans="1:8" s="34" customFormat="1" ht="55.5" customHeight="1" outlineLevel="1" x14ac:dyDescent="0.25">
      <c r="A29" s="43" t="s">
        <v>117</v>
      </c>
      <c r="B29" s="42" t="s">
        <v>118</v>
      </c>
      <c r="C29" s="60">
        <v>0</v>
      </c>
      <c r="D29" s="52">
        <f t="shared" si="3"/>
        <v>19164.900000000001</v>
      </c>
      <c r="E29" s="52">
        <f>19164900/1000</f>
        <v>19164.900000000001</v>
      </c>
      <c r="F29" s="53">
        <v>0</v>
      </c>
      <c r="G29" s="33"/>
      <c r="H29" s="85"/>
    </row>
    <row r="30" spans="1:8" s="34" customFormat="1" ht="40.5" customHeight="1" outlineLevel="1" x14ac:dyDescent="0.25">
      <c r="A30" s="43" t="s">
        <v>115</v>
      </c>
      <c r="B30" s="42" t="s">
        <v>116</v>
      </c>
      <c r="C30" s="51">
        <v>0</v>
      </c>
      <c r="D30" s="52">
        <f t="shared" si="3"/>
        <v>21729.142260000001</v>
      </c>
      <c r="E30" s="52">
        <f>21729142.26/1000</f>
        <v>21729.142260000001</v>
      </c>
      <c r="F30" s="53">
        <f>21665960.85/1000</f>
        <v>21665.960850000003</v>
      </c>
      <c r="G30" s="33"/>
      <c r="H30" s="85"/>
    </row>
    <row r="31" spans="1:8" s="34" customFormat="1" ht="42" customHeight="1" outlineLevel="1" x14ac:dyDescent="0.25">
      <c r="A31" s="44" t="s">
        <v>94</v>
      </c>
      <c r="B31" s="42" t="s">
        <v>96</v>
      </c>
      <c r="C31" s="51">
        <v>0</v>
      </c>
      <c r="D31" s="52">
        <f t="shared" si="3"/>
        <v>92005.7</v>
      </c>
      <c r="E31" s="52">
        <f>92005700/1000</f>
        <v>92005.7</v>
      </c>
      <c r="F31" s="53">
        <f>90385422.54/1000</f>
        <v>90385.42254</v>
      </c>
      <c r="G31" s="33"/>
      <c r="H31" s="85"/>
    </row>
    <row r="32" spans="1:8" s="34" customFormat="1" ht="47.25" customHeight="1" outlineLevel="1" x14ac:dyDescent="0.25">
      <c r="A32" s="44" t="s">
        <v>90</v>
      </c>
      <c r="B32" s="42" t="s">
        <v>92</v>
      </c>
      <c r="C32" s="51">
        <v>0</v>
      </c>
      <c r="D32" s="52">
        <f t="shared" si="3"/>
        <v>122469</v>
      </c>
      <c r="E32" s="52">
        <f>122469000/1000</f>
        <v>122469</v>
      </c>
      <c r="F32" s="53">
        <f>121986321.93/1000</f>
        <v>121986.32193000001</v>
      </c>
      <c r="G32" s="33"/>
      <c r="H32" s="85"/>
    </row>
    <row r="33" spans="1:8" s="34" customFormat="1" ht="38.25" outlineLevel="1" x14ac:dyDescent="0.25">
      <c r="A33" s="41" t="s">
        <v>101</v>
      </c>
      <c r="B33" s="42" t="s">
        <v>102</v>
      </c>
      <c r="C33" s="51">
        <v>0</v>
      </c>
      <c r="D33" s="52">
        <f t="shared" si="3"/>
        <v>72169.2</v>
      </c>
      <c r="E33" s="52">
        <f>72169200/1000</f>
        <v>72169.2</v>
      </c>
      <c r="F33" s="53">
        <f>72169199.99/1000</f>
        <v>72169.199989999994</v>
      </c>
      <c r="G33" s="33"/>
      <c r="H33" s="85"/>
    </row>
    <row r="34" spans="1:8" s="34" customFormat="1" ht="26.25" customHeight="1" outlineLevel="1" x14ac:dyDescent="0.25">
      <c r="A34" s="43" t="s">
        <v>128</v>
      </c>
      <c r="B34" s="42" t="s">
        <v>129</v>
      </c>
      <c r="C34" s="51">
        <v>0</v>
      </c>
      <c r="D34" s="52">
        <f t="shared" si="3"/>
        <v>48183.026030000001</v>
      </c>
      <c r="E34" s="52">
        <f>48183026.03/1000</f>
        <v>48183.026030000001</v>
      </c>
      <c r="F34" s="53">
        <f>48183017.01/1000</f>
        <v>48183.017009999996</v>
      </c>
      <c r="G34" s="33"/>
      <c r="H34" s="85"/>
    </row>
    <row r="35" spans="1:8" s="34" customFormat="1" ht="38.25" outlineLevel="1" x14ac:dyDescent="0.25">
      <c r="A35" s="43" t="s">
        <v>122</v>
      </c>
      <c r="B35" s="42" t="s">
        <v>123</v>
      </c>
      <c r="C35" s="51">
        <f>32846100/1000</f>
        <v>32846.1</v>
      </c>
      <c r="D35" s="52">
        <f t="shared" si="3"/>
        <v>32846.1</v>
      </c>
      <c r="E35" s="52">
        <f>32846100/1000</f>
        <v>32846.1</v>
      </c>
      <c r="F35" s="53">
        <f>32846100/1000</f>
        <v>32846.1</v>
      </c>
      <c r="G35" s="33"/>
      <c r="H35" s="85"/>
    </row>
    <row r="36" spans="1:8" s="34" customFormat="1" ht="44.25" customHeight="1" outlineLevel="1" x14ac:dyDescent="0.25">
      <c r="A36" s="44" t="s">
        <v>94</v>
      </c>
      <c r="B36" s="42" t="s">
        <v>97</v>
      </c>
      <c r="C36" s="51">
        <v>0</v>
      </c>
      <c r="D36" s="52">
        <f t="shared" si="3"/>
        <v>13117</v>
      </c>
      <c r="E36" s="52">
        <f>13117000/1000</f>
        <v>13117</v>
      </c>
      <c r="F36" s="53">
        <f>11641355.46/1000</f>
        <v>11641.355460000001</v>
      </c>
      <c r="G36" s="33"/>
      <c r="H36" s="85"/>
    </row>
    <row r="37" spans="1:8" s="34" customFormat="1" ht="49.5" customHeight="1" outlineLevel="1" x14ac:dyDescent="0.25">
      <c r="A37" s="44" t="s">
        <v>90</v>
      </c>
      <c r="B37" s="42" t="s">
        <v>93</v>
      </c>
      <c r="C37" s="51">
        <v>0</v>
      </c>
      <c r="D37" s="52">
        <f t="shared" si="3"/>
        <v>12909</v>
      </c>
      <c r="E37" s="52">
        <f>12909000/1000</f>
        <v>12909</v>
      </c>
      <c r="F37" s="53">
        <f>12466325.92/1000</f>
        <v>12466.325919999999</v>
      </c>
      <c r="G37" s="33"/>
      <c r="H37" s="85"/>
    </row>
    <row r="38" spans="1:8" s="34" customFormat="1" ht="49.5" customHeight="1" outlineLevel="1" x14ac:dyDescent="0.25">
      <c r="A38" s="44" t="s">
        <v>80</v>
      </c>
      <c r="B38" s="42" t="s">
        <v>81</v>
      </c>
      <c r="C38" s="51">
        <v>0</v>
      </c>
      <c r="D38" s="52">
        <v>40698</v>
      </c>
      <c r="E38" s="52">
        <f>D38</f>
        <v>40698</v>
      </c>
      <c r="F38" s="53">
        <f>D38</f>
        <v>40698</v>
      </c>
      <c r="G38" s="33"/>
      <c r="H38" s="85"/>
    </row>
    <row r="39" spans="1:8" s="34" customFormat="1" ht="94.5" customHeight="1" outlineLevel="1" x14ac:dyDescent="0.25">
      <c r="A39" s="41" t="s">
        <v>111</v>
      </c>
      <c r="B39" s="42" t="s">
        <v>14</v>
      </c>
      <c r="C39" s="51">
        <f>29115000/1000</f>
        <v>29115</v>
      </c>
      <c r="D39" s="52">
        <f>E39</f>
        <v>35609</v>
      </c>
      <c r="E39" s="52">
        <f>35609000/1000</f>
        <v>35609</v>
      </c>
      <c r="F39" s="53">
        <f>35609000/1000</f>
        <v>35609</v>
      </c>
      <c r="G39" s="33"/>
      <c r="H39" s="85"/>
    </row>
    <row r="40" spans="1:8" s="34" customFormat="1" ht="21" customHeight="1" outlineLevel="1" x14ac:dyDescent="0.25">
      <c r="A40" s="44" t="s">
        <v>104</v>
      </c>
      <c r="B40" s="42" t="s">
        <v>67</v>
      </c>
      <c r="C40" s="51">
        <v>0</v>
      </c>
      <c r="D40" s="52">
        <f>E40</f>
        <v>2074.47021</v>
      </c>
      <c r="E40" s="52">
        <f>2074470.21/1000</f>
        <v>2074.47021</v>
      </c>
      <c r="F40" s="53">
        <f>2074470.21/1000</f>
        <v>2074.47021</v>
      </c>
      <c r="G40" s="33"/>
      <c r="H40" s="85"/>
    </row>
    <row r="41" spans="1:8" s="34" customFormat="1" ht="38.25" outlineLevel="1" x14ac:dyDescent="0.25">
      <c r="A41" s="41" t="s">
        <v>105</v>
      </c>
      <c r="B41" s="42" t="s">
        <v>51</v>
      </c>
      <c r="C41" s="51">
        <v>0</v>
      </c>
      <c r="D41" s="52">
        <f>E41</f>
        <v>1677.09575</v>
      </c>
      <c r="E41" s="52">
        <f>1677095.75/1000</f>
        <v>1677.09575</v>
      </c>
      <c r="F41" s="53">
        <f>1677095.75/1000</f>
        <v>1677.09575</v>
      </c>
      <c r="G41" s="33"/>
      <c r="H41" s="85"/>
    </row>
    <row r="42" spans="1:8" s="34" customFormat="1" ht="38.25" outlineLevel="1" x14ac:dyDescent="0.25">
      <c r="A42" s="41" t="s">
        <v>98</v>
      </c>
      <c r="B42" s="42" t="s">
        <v>45</v>
      </c>
      <c r="C42" s="51">
        <v>0</v>
      </c>
      <c r="D42" s="52">
        <f>E42</f>
        <v>31581.59575</v>
      </c>
      <c r="E42" s="52">
        <f>31581595.75/1000</f>
        <v>31581.59575</v>
      </c>
      <c r="F42" s="53">
        <f>31581595.75/1000</f>
        <v>31581.59575</v>
      </c>
      <c r="G42" s="33"/>
      <c r="H42" s="85"/>
    </row>
    <row r="43" spans="1:8" s="34" customFormat="1" ht="21.75" customHeight="1" outlineLevel="1" x14ac:dyDescent="0.25">
      <c r="A43" s="44" t="s">
        <v>104</v>
      </c>
      <c r="B43" s="42" t="s">
        <v>68</v>
      </c>
      <c r="C43" s="51">
        <v>0</v>
      </c>
      <c r="D43" s="52">
        <f>E43</f>
        <v>2050</v>
      </c>
      <c r="E43" s="52">
        <f>2050000/1000</f>
        <v>2050</v>
      </c>
      <c r="F43" s="53">
        <f>2050000/1000</f>
        <v>2050</v>
      </c>
      <c r="G43" s="33"/>
      <c r="H43" s="85"/>
    </row>
    <row r="44" spans="1:8" s="34" customFormat="1" ht="21.75" customHeight="1" outlineLevel="1" x14ac:dyDescent="0.25">
      <c r="A44" s="44" t="s">
        <v>84</v>
      </c>
      <c r="B44" s="42" t="s">
        <v>196</v>
      </c>
      <c r="C44" s="51">
        <v>0</v>
      </c>
      <c r="D44" s="52">
        <v>94325.1</v>
      </c>
      <c r="E44" s="52">
        <f>D44</f>
        <v>94325.1</v>
      </c>
      <c r="F44" s="53">
        <f>D44</f>
        <v>94325.1</v>
      </c>
      <c r="G44" s="33"/>
      <c r="H44" s="85"/>
    </row>
    <row r="45" spans="1:8" s="34" customFormat="1" ht="33" customHeight="1" outlineLevel="1" x14ac:dyDescent="0.25">
      <c r="A45" s="41" t="s">
        <v>138</v>
      </c>
      <c r="B45" s="42" t="s">
        <v>73</v>
      </c>
      <c r="C45" s="59">
        <v>0</v>
      </c>
      <c r="D45" s="52">
        <f t="shared" ref="D45:D54" si="4">E45</f>
        <v>25139.1</v>
      </c>
      <c r="E45" s="52">
        <f>25139100/1000</f>
        <v>25139.1</v>
      </c>
      <c r="F45" s="53">
        <f>25139100/1000</f>
        <v>25139.1</v>
      </c>
      <c r="G45" s="33"/>
      <c r="H45" s="85"/>
    </row>
    <row r="46" spans="1:8" s="34" customFormat="1" ht="33.75" customHeight="1" outlineLevel="1" x14ac:dyDescent="0.25">
      <c r="A46" s="41" t="s">
        <v>106</v>
      </c>
      <c r="B46" s="42" t="s">
        <v>69</v>
      </c>
      <c r="C46" s="51">
        <f>1832700/1000</f>
        <v>1832.7</v>
      </c>
      <c r="D46" s="52">
        <f t="shared" si="4"/>
        <v>1832.7</v>
      </c>
      <c r="E46" s="52">
        <f>1832700/1000</f>
        <v>1832.7</v>
      </c>
      <c r="F46" s="53">
        <f>1832700/1000</f>
        <v>1832.7</v>
      </c>
      <c r="G46" s="33"/>
      <c r="H46" s="85"/>
    </row>
    <row r="47" spans="1:8" s="34" customFormat="1" ht="25.5" customHeight="1" outlineLevel="1" x14ac:dyDescent="0.25">
      <c r="A47" s="72" t="s">
        <v>119</v>
      </c>
      <c r="B47" s="42" t="s">
        <v>70</v>
      </c>
      <c r="C47" s="51">
        <f>57782129/1000</f>
        <v>57782.129000000001</v>
      </c>
      <c r="D47" s="52">
        <f t="shared" si="4"/>
        <v>75843.51198000001</v>
      </c>
      <c r="E47" s="52">
        <f>75843511.98/1000</f>
        <v>75843.51198000001</v>
      </c>
      <c r="F47" s="53">
        <f>75843511.98/1000</f>
        <v>75843.51198000001</v>
      </c>
      <c r="G47" s="33"/>
      <c r="H47" s="85"/>
    </row>
    <row r="48" spans="1:8" s="34" customFormat="1" ht="25.5" customHeight="1" outlineLevel="1" x14ac:dyDescent="0.25">
      <c r="A48" s="73"/>
      <c r="B48" s="42" t="s">
        <v>47</v>
      </c>
      <c r="C48" s="51">
        <f>84281700/1000</f>
        <v>84281.7</v>
      </c>
      <c r="D48" s="52">
        <f t="shared" si="4"/>
        <v>78738.559999999998</v>
      </c>
      <c r="E48" s="52">
        <f>78738560/1000</f>
        <v>78738.559999999998</v>
      </c>
      <c r="F48" s="53">
        <v>0</v>
      </c>
      <c r="G48" s="33"/>
      <c r="H48" s="85"/>
    </row>
    <row r="49" spans="1:8" s="34" customFormat="1" ht="32.25" customHeight="1" outlineLevel="1" x14ac:dyDescent="0.25">
      <c r="A49" s="43" t="s">
        <v>46</v>
      </c>
      <c r="B49" s="42" t="s">
        <v>59</v>
      </c>
      <c r="C49" s="51">
        <f>1000000/1000</f>
        <v>1000</v>
      </c>
      <c r="D49" s="52">
        <f t="shared" si="4"/>
        <v>2609.348</v>
      </c>
      <c r="E49" s="52">
        <f>2609348/1000</f>
        <v>2609.348</v>
      </c>
      <c r="F49" s="53">
        <f>2609348/1000</f>
        <v>2609.348</v>
      </c>
      <c r="G49" s="33"/>
      <c r="H49" s="85"/>
    </row>
    <row r="50" spans="1:8" s="34" customFormat="1" ht="25.5" customHeight="1" outlineLevel="1" x14ac:dyDescent="0.25">
      <c r="A50" s="44" t="s">
        <v>119</v>
      </c>
      <c r="B50" s="42" t="s">
        <v>66</v>
      </c>
      <c r="C50" s="51">
        <f>1392022/1000</f>
        <v>1392.0219999999999</v>
      </c>
      <c r="D50" s="52">
        <f t="shared" si="4"/>
        <v>1429.306</v>
      </c>
      <c r="E50" s="52">
        <f>1429306/1000</f>
        <v>1429.306</v>
      </c>
      <c r="F50" s="53">
        <f>1429306/1000</f>
        <v>1429.306</v>
      </c>
      <c r="G50" s="33"/>
      <c r="H50" s="85"/>
    </row>
    <row r="51" spans="1:8" s="34" customFormat="1" ht="19.5" customHeight="1" outlineLevel="1" x14ac:dyDescent="0.25">
      <c r="A51" s="41" t="s">
        <v>99</v>
      </c>
      <c r="B51" s="42" t="s">
        <v>100</v>
      </c>
      <c r="C51" s="51">
        <v>0</v>
      </c>
      <c r="D51" s="52">
        <f t="shared" si="4"/>
        <v>3260.5</v>
      </c>
      <c r="E51" s="52">
        <f>3260500/1000</f>
        <v>3260.5</v>
      </c>
      <c r="F51" s="53">
        <f>3260500/1000</f>
        <v>3260.5</v>
      </c>
      <c r="G51" s="33"/>
      <c r="H51" s="85"/>
    </row>
    <row r="52" spans="1:8" s="34" customFormat="1" ht="25.5" outlineLevel="1" x14ac:dyDescent="0.25">
      <c r="A52" s="41" t="s">
        <v>109</v>
      </c>
      <c r="B52" s="42" t="s">
        <v>110</v>
      </c>
      <c r="C52" s="51">
        <v>0</v>
      </c>
      <c r="D52" s="52">
        <f t="shared" si="4"/>
        <v>2282.6999999999998</v>
      </c>
      <c r="E52" s="52">
        <f>2282700/1000</f>
        <v>2282.6999999999998</v>
      </c>
      <c r="F52" s="53">
        <f>2282700/1000</f>
        <v>2282.6999999999998</v>
      </c>
      <c r="G52" s="33"/>
      <c r="H52" s="85"/>
    </row>
    <row r="53" spans="1:8" s="34" customFormat="1" ht="38.25" outlineLevel="1" x14ac:dyDescent="0.25">
      <c r="A53" s="43" t="s">
        <v>43</v>
      </c>
      <c r="B53" s="42" t="s">
        <v>44</v>
      </c>
      <c r="C53" s="51">
        <f>5000000/1000</f>
        <v>5000</v>
      </c>
      <c r="D53" s="52">
        <f t="shared" si="4"/>
        <v>5000</v>
      </c>
      <c r="E53" s="52">
        <f>5000000/1000</f>
        <v>5000</v>
      </c>
      <c r="F53" s="53">
        <f>5000000/1000</f>
        <v>5000</v>
      </c>
      <c r="G53" s="33"/>
      <c r="H53" s="85"/>
    </row>
    <row r="54" spans="1:8" s="34" customFormat="1" ht="51" outlineLevel="1" x14ac:dyDescent="0.25">
      <c r="A54" s="41" t="s">
        <v>136</v>
      </c>
      <c r="B54" s="42" t="s">
        <v>137</v>
      </c>
      <c r="C54" s="59">
        <v>0</v>
      </c>
      <c r="D54" s="52">
        <f t="shared" si="4"/>
        <v>2250</v>
      </c>
      <c r="E54" s="52">
        <f>2250000/1000</f>
        <v>2250</v>
      </c>
      <c r="F54" s="53">
        <f>2250000/1000</f>
        <v>2250</v>
      </c>
      <c r="G54" s="33"/>
      <c r="H54" s="85"/>
    </row>
    <row r="55" spans="1:8" s="34" customFormat="1" ht="33.75" customHeight="1" outlineLevel="1" x14ac:dyDescent="0.25">
      <c r="A55" s="41" t="s">
        <v>85</v>
      </c>
      <c r="B55" s="42" t="s">
        <v>58</v>
      </c>
      <c r="C55" s="59">
        <v>0</v>
      </c>
      <c r="D55" s="52">
        <v>5455.5</v>
      </c>
      <c r="E55" s="52">
        <v>5455.5</v>
      </c>
      <c r="F55" s="53">
        <v>5455.37</v>
      </c>
      <c r="G55" s="33"/>
      <c r="H55" s="85"/>
    </row>
    <row r="56" spans="1:8" s="34" customFormat="1" ht="38.25" outlineLevel="1" x14ac:dyDescent="0.25">
      <c r="A56" s="41" t="s">
        <v>89</v>
      </c>
      <c r="B56" s="42" t="s">
        <v>15</v>
      </c>
      <c r="C56" s="51">
        <f>50000000/1000</f>
        <v>50000</v>
      </c>
      <c r="D56" s="52">
        <f>E56</f>
        <v>487581.04300000001</v>
      </c>
      <c r="E56" s="52">
        <f>487581043/1000</f>
        <v>487581.04300000001</v>
      </c>
      <c r="F56" s="53">
        <f>485013442.18/1000</f>
        <v>485013.44218000001</v>
      </c>
      <c r="G56" s="33"/>
      <c r="H56" s="85"/>
    </row>
    <row r="57" spans="1:8" s="34" customFormat="1" ht="25.5" outlineLevel="1" x14ac:dyDescent="0.25">
      <c r="A57" s="41" t="s">
        <v>130</v>
      </c>
      <c r="B57" s="42" t="s">
        <v>131</v>
      </c>
      <c r="C57" s="51">
        <v>0</v>
      </c>
      <c r="D57" s="52">
        <f>E57</f>
        <v>146533.1</v>
      </c>
      <c r="E57" s="52">
        <f>146533100/1000</f>
        <v>146533.1</v>
      </c>
      <c r="F57" s="53">
        <v>0</v>
      </c>
      <c r="G57" s="33"/>
      <c r="H57" s="85"/>
    </row>
    <row r="58" spans="1:8" s="34" customFormat="1" ht="25.5" customHeight="1" outlineLevel="1" x14ac:dyDescent="0.25">
      <c r="A58" s="44" t="s">
        <v>48</v>
      </c>
      <c r="B58" s="42" t="s">
        <v>135</v>
      </c>
      <c r="C58" s="59">
        <v>0</v>
      </c>
      <c r="D58" s="52">
        <f>E58</f>
        <v>19273.53354</v>
      </c>
      <c r="E58" s="52">
        <f>19273533.54/1000</f>
        <v>19273.53354</v>
      </c>
      <c r="F58" s="53">
        <f>19273533.54/1000</f>
        <v>19273.53354</v>
      </c>
      <c r="G58" s="33"/>
      <c r="H58" s="85"/>
    </row>
    <row r="59" spans="1:8" s="34" customFormat="1" ht="25.5" customHeight="1" outlineLevel="1" x14ac:dyDescent="0.25">
      <c r="A59" s="44" t="s">
        <v>86</v>
      </c>
      <c r="B59" s="42" t="s">
        <v>16</v>
      </c>
      <c r="C59" s="59">
        <v>42753.1</v>
      </c>
      <c r="D59" s="52">
        <v>42753.1</v>
      </c>
      <c r="E59" s="52">
        <f>D59</f>
        <v>42753.1</v>
      </c>
      <c r="F59" s="53">
        <v>42753.1</v>
      </c>
      <c r="G59" s="33"/>
      <c r="H59" s="85"/>
    </row>
    <row r="60" spans="1:8" s="34" customFormat="1" ht="25.5" outlineLevel="1" x14ac:dyDescent="0.25">
      <c r="A60" s="43" t="s">
        <v>120</v>
      </c>
      <c r="B60" s="42" t="s">
        <v>121</v>
      </c>
      <c r="C60" s="51">
        <f>330552500/1000</f>
        <v>330552.5</v>
      </c>
      <c r="D60" s="52">
        <f t="shared" ref="D60:D61" si="5">E60</f>
        <v>330552.55101999996</v>
      </c>
      <c r="E60" s="52">
        <f>330552551.02/1000</f>
        <v>330552.55101999996</v>
      </c>
      <c r="F60" s="53">
        <f>294678982.01/1000</f>
        <v>294678.98200999998</v>
      </c>
      <c r="G60" s="33"/>
      <c r="H60" s="85"/>
    </row>
    <row r="61" spans="1:8" s="34" customFormat="1" ht="39" outlineLevel="1" thickBot="1" x14ac:dyDescent="0.3">
      <c r="A61" s="45" t="s">
        <v>141</v>
      </c>
      <c r="B61" s="24" t="s">
        <v>142</v>
      </c>
      <c r="C61" s="54">
        <f>690737173/1000</f>
        <v>690737.17299999995</v>
      </c>
      <c r="D61" s="55">
        <f t="shared" si="5"/>
        <v>0</v>
      </c>
      <c r="E61" s="54">
        <v>0</v>
      </c>
      <c r="F61" s="61">
        <v>0</v>
      </c>
      <c r="G61" s="33"/>
      <c r="H61" s="85"/>
    </row>
    <row r="62" spans="1:8" ht="17.25" customHeight="1" x14ac:dyDescent="0.25">
      <c r="A62" s="26" t="s">
        <v>17</v>
      </c>
      <c r="B62" s="27"/>
      <c r="C62" s="57">
        <f>SUM(C63:C88)</f>
        <v>10266369.699999999</v>
      </c>
      <c r="D62" s="57">
        <f t="shared" ref="D62:F62" si="6">SUM(D63:D88)</f>
        <v>12552765.422559999</v>
      </c>
      <c r="E62" s="57">
        <f t="shared" si="6"/>
        <v>12552765.422559999</v>
      </c>
      <c r="F62" s="58">
        <f t="shared" si="6"/>
        <v>12531686.705179999</v>
      </c>
      <c r="G62" s="4"/>
      <c r="H62" s="85"/>
    </row>
    <row r="63" spans="1:8" s="34" customFormat="1" ht="32.25" customHeight="1" outlineLevel="1" x14ac:dyDescent="0.25">
      <c r="A63" s="41" t="s">
        <v>163</v>
      </c>
      <c r="B63" s="42" t="s">
        <v>18</v>
      </c>
      <c r="C63" s="51">
        <f>100410000/1000</f>
        <v>100410</v>
      </c>
      <c r="D63" s="52">
        <f t="shared" ref="D63:D80" si="7">E63</f>
        <v>100410</v>
      </c>
      <c r="E63" s="52">
        <f>100410000/1000</f>
        <v>100410</v>
      </c>
      <c r="F63" s="53">
        <f>99432040/1000</f>
        <v>99432.04</v>
      </c>
      <c r="G63" s="33"/>
      <c r="H63" s="85"/>
    </row>
    <row r="64" spans="1:8" s="34" customFormat="1" ht="50.25" customHeight="1" outlineLevel="1" x14ac:dyDescent="0.25">
      <c r="A64" s="41" t="s">
        <v>152</v>
      </c>
      <c r="B64" s="42" t="s">
        <v>71</v>
      </c>
      <c r="C64" s="51">
        <f>6318000/1000</f>
        <v>6318</v>
      </c>
      <c r="D64" s="52">
        <f t="shared" si="7"/>
        <v>6562.5</v>
      </c>
      <c r="E64" s="52">
        <f>6562500/1000</f>
        <v>6562.5</v>
      </c>
      <c r="F64" s="53">
        <f>6562500/1000</f>
        <v>6562.5</v>
      </c>
      <c r="G64" s="33"/>
      <c r="H64" s="85"/>
    </row>
    <row r="65" spans="1:8" s="34" customFormat="1" ht="21" customHeight="1" outlineLevel="1" x14ac:dyDescent="0.25">
      <c r="A65" s="41" t="s">
        <v>155</v>
      </c>
      <c r="B65" s="42" t="s">
        <v>19</v>
      </c>
      <c r="C65" s="51">
        <f>11083000/1000</f>
        <v>11083</v>
      </c>
      <c r="D65" s="52">
        <f t="shared" si="7"/>
        <v>11626.4</v>
      </c>
      <c r="E65" s="52">
        <f>11626400/1000</f>
        <v>11626.4</v>
      </c>
      <c r="F65" s="53">
        <f>11583327.36/1000</f>
        <v>11583.327359999999</v>
      </c>
      <c r="G65" s="33"/>
      <c r="H65" s="85"/>
    </row>
    <row r="66" spans="1:8" s="34" customFormat="1" ht="32.25" customHeight="1" outlineLevel="1" x14ac:dyDescent="0.25">
      <c r="A66" s="41" t="s">
        <v>149</v>
      </c>
      <c r="B66" s="42" t="s">
        <v>20</v>
      </c>
      <c r="C66" s="51">
        <f>6700000/1000</f>
        <v>6700</v>
      </c>
      <c r="D66" s="52">
        <f t="shared" si="7"/>
        <v>5444.1</v>
      </c>
      <c r="E66" s="52">
        <f>5444100/1000</f>
        <v>5444.1</v>
      </c>
      <c r="F66" s="53">
        <f>4840068.78/1000</f>
        <v>4840.0687800000005</v>
      </c>
      <c r="G66" s="33"/>
      <c r="H66" s="85"/>
    </row>
    <row r="67" spans="1:8" s="34" customFormat="1" ht="46.5" customHeight="1" outlineLevel="1" x14ac:dyDescent="0.25">
      <c r="A67" s="41" t="s">
        <v>144</v>
      </c>
      <c r="B67" s="42" t="s">
        <v>21</v>
      </c>
      <c r="C67" s="51">
        <f>871000/1000</f>
        <v>871</v>
      </c>
      <c r="D67" s="52">
        <f t="shared" si="7"/>
        <v>488.4</v>
      </c>
      <c r="E67" s="52">
        <f>488400/1000</f>
        <v>488.4</v>
      </c>
      <c r="F67" s="53">
        <f>442200/1000</f>
        <v>442.2</v>
      </c>
      <c r="G67" s="33"/>
      <c r="H67" s="85"/>
    </row>
    <row r="68" spans="1:8" s="34" customFormat="1" ht="73.5" customHeight="1" outlineLevel="1" x14ac:dyDescent="0.25">
      <c r="A68" s="43" t="s">
        <v>151</v>
      </c>
      <c r="B68" s="42" t="s">
        <v>22</v>
      </c>
      <c r="C68" s="59">
        <f>60822000/1000</f>
        <v>60822</v>
      </c>
      <c r="D68" s="52">
        <f t="shared" si="7"/>
        <v>90838.395000000004</v>
      </c>
      <c r="E68" s="52">
        <f>90838395/1000</f>
        <v>90838.395000000004</v>
      </c>
      <c r="F68" s="53">
        <f>90838391/1000</f>
        <v>90838.391000000003</v>
      </c>
      <c r="G68" s="33"/>
      <c r="H68" s="85"/>
    </row>
    <row r="69" spans="1:8" s="34" customFormat="1" ht="89.25" outlineLevel="1" x14ac:dyDescent="0.25">
      <c r="A69" s="41" t="s">
        <v>157</v>
      </c>
      <c r="B69" s="42" t="s">
        <v>23</v>
      </c>
      <c r="C69" s="51">
        <f>15000/1000</f>
        <v>15</v>
      </c>
      <c r="D69" s="52">
        <f t="shared" si="7"/>
        <v>15</v>
      </c>
      <c r="E69" s="52">
        <f>15000/1000</f>
        <v>15</v>
      </c>
      <c r="F69" s="53">
        <f>15000/1000</f>
        <v>15</v>
      </c>
      <c r="G69" s="33"/>
      <c r="H69" s="85"/>
    </row>
    <row r="70" spans="1:8" s="34" customFormat="1" ht="69" customHeight="1" outlineLevel="1" x14ac:dyDescent="0.25">
      <c r="A70" s="41" t="s">
        <v>145</v>
      </c>
      <c r="B70" s="42" t="s">
        <v>24</v>
      </c>
      <c r="C70" s="51">
        <f>49000/1000</f>
        <v>49</v>
      </c>
      <c r="D70" s="52">
        <f t="shared" si="7"/>
        <v>49</v>
      </c>
      <c r="E70" s="52">
        <f>49000/1000</f>
        <v>49</v>
      </c>
      <c r="F70" s="53">
        <f>49000/1000</f>
        <v>49</v>
      </c>
      <c r="G70" s="33"/>
      <c r="H70" s="85"/>
    </row>
    <row r="71" spans="1:8" s="34" customFormat="1" ht="111" customHeight="1" outlineLevel="1" x14ac:dyDescent="0.25">
      <c r="A71" s="43" t="s">
        <v>147</v>
      </c>
      <c r="B71" s="42" t="s">
        <v>25</v>
      </c>
      <c r="C71" s="51">
        <f>2930220800/1000</f>
        <v>2930220.8</v>
      </c>
      <c r="D71" s="52">
        <f t="shared" si="7"/>
        <v>3692303.8</v>
      </c>
      <c r="E71" s="52">
        <f>3692303800/1000</f>
        <v>3692303.8</v>
      </c>
      <c r="F71" s="53">
        <f>3682949016.65/1000</f>
        <v>3682949.0166500001</v>
      </c>
      <c r="G71" s="33"/>
      <c r="H71" s="85"/>
    </row>
    <row r="72" spans="1:8" s="34" customFormat="1" ht="60" customHeight="1" outlineLevel="1" x14ac:dyDescent="0.25">
      <c r="A72" s="41" t="s">
        <v>161</v>
      </c>
      <c r="B72" s="42" t="s">
        <v>26</v>
      </c>
      <c r="C72" s="51">
        <f>50503000/1000</f>
        <v>50503</v>
      </c>
      <c r="D72" s="52">
        <f t="shared" si="7"/>
        <v>29431.897559999998</v>
      </c>
      <c r="E72" s="52">
        <f>29431897.56/1000</f>
        <v>29431.897559999998</v>
      </c>
      <c r="F72" s="53">
        <f>27871432.8/1000</f>
        <v>27871.432800000002</v>
      </c>
      <c r="G72" s="33"/>
      <c r="H72" s="85"/>
    </row>
    <row r="73" spans="1:8" s="34" customFormat="1" ht="108.75" customHeight="1" outlineLevel="1" x14ac:dyDescent="0.25">
      <c r="A73" s="43" t="s">
        <v>147</v>
      </c>
      <c r="B73" s="42" t="s">
        <v>63</v>
      </c>
      <c r="C73" s="51">
        <f>6151552800/1000</f>
        <v>6151552.7999999998</v>
      </c>
      <c r="D73" s="52">
        <f t="shared" si="7"/>
        <v>7654994.5999999996</v>
      </c>
      <c r="E73" s="52">
        <f>7654994600/1000</f>
        <v>7654994.5999999996</v>
      </c>
      <c r="F73" s="53">
        <f>7650178254.01/1000</f>
        <v>7650178.2540100003</v>
      </c>
      <c r="G73" s="33"/>
      <c r="H73" s="85"/>
    </row>
    <row r="74" spans="1:8" s="34" customFormat="1" ht="46.5" customHeight="1" outlineLevel="1" x14ac:dyDescent="0.25">
      <c r="A74" s="41" t="s">
        <v>160</v>
      </c>
      <c r="B74" s="42" t="s">
        <v>27</v>
      </c>
      <c r="C74" s="51">
        <f>4242000/1000</f>
        <v>4242</v>
      </c>
      <c r="D74" s="52">
        <f t="shared" si="7"/>
        <v>6193.8</v>
      </c>
      <c r="E74" s="52">
        <f>6193800/1000</f>
        <v>6193.8</v>
      </c>
      <c r="F74" s="53">
        <f>6158034.03/1000</f>
        <v>6158.0340300000007</v>
      </c>
      <c r="G74" s="33"/>
      <c r="H74" s="85"/>
    </row>
    <row r="75" spans="1:8" s="34" customFormat="1" ht="44.25" customHeight="1" outlineLevel="1" x14ac:dyDescent="0.25">
      <c r="A75" s="41" t="s">
        <v>146</v>
      </c>
      <c r="B75" s="42" t="s">
        <v>28</v>
      </c>
      <c r="C75" s="51">
        <f>136510000/1000</f>
        <v>136510</v>
      </c>
      <c r="D75" s="52">
        <f t="shared" si="7"/>
        <v>164899.4</v>
      </c>
      <c r="E75" s="52">
        <f>164899400/1000</f>
        <v>164899.4</v>
      </c>
      <c r="F75" s="53">
        <f>163968152.21/1000</f>
        <v>163968.15221</v>
      </c>
      <c r="G75" s="33"/>
      <c r="H75" s="85"/>
    </row>
    <row r="76" spans="1:8" s="34" customFormat="1" ht="38.25" outlineLevel="1" x14ac:dyDescent="0.25">
      <c r="A76" s="41" t="s">
        <v>148</v>
      </c>
      <c r="B76" s="42" t="s">
        <v>13</v>
      </c>
      <c r="C76" s="51">
        <f>99970000/1000</f>
        <v>99970</v>
      </c>
      <c r="D76" s="52">
        <f t="shared" si="7"/>
        <v>97663.48</v>
      </c>
      <c r="E76" s="52">
        <f>97663480/1000</f>
        <v>97663.48</v>
      </c>
      <c r="F76" s="53">
        <f>97650113.2/1000</f>
        <v>97650.113200000007</v>
      </c>
      <c r="G76" s="33"/>
      <c r="H76" s="85"/>
    </row>
    <row r="77" spans="1:8" s="34" customFormat="1" ht="30" customHeight="1" outlineLevel="1" x14ac:dyDescent="0.25">
      <c r="A77" s="41" t="s">
        <v>154</v>
      </c>
      <c r="B77" s="42" t="s">
        <v>52</v>
      </c>
      <c r="C77" s="51">
        <f>3371000/1000</f>
        <v>3371</v>
      </c>
      <c r="D77" s="52">
        <f t="shared" si="7"/>
        <v>2668.1</v>
      </c>
      <c r="E77" s="52">
        <f>2668100/1000</f>
        <v>2668.1</v>
      </c>
      <c r="F77" s="53">
        <f>2667900/1000</f>
        <v>2667.9</v>
      </c>
      <c r="G77" s="33"/>
      <c r="H77" s="85"/>
    </row>
    <row r="78" spans="1:8" s="34" customFormat="1" ht="46.5" customHeight="1" outlineLevel="1" x14ac:dyDescent="0.25">
      <c r="A78" s="41" t="s">
        <v>162</v>
      </c>
      <c r="B78" s="42" t="s">
        <v>29</v>
      </c>
      <c r="C78" s="51">
        <f>501279000/1000</f>
        <v>501279</v>
      </c>
      <c r="D78" s="52">
        <f t="shared" si="7"/>
        <v>496442.4</v>
      </c>
      <c r="E78" s="52">
        <f>496442400/1000</f>
        <v>496442.4</v>
      </c>
      <c r="F78" s="53">
        <f>496072483.25/1000</f>
        <v>496072.48324999999</v>
      </c>
      <c r="G78" s="33"/>
      <c r="H78" s="85"/>
    </row>
    <row r="79" spans="1:8" s="34" customFormat="1" ht="50.25" customHeight="1" outlineLevel="1" x14ac:dyDescent="0.25">
      <c r="A79" s="41" t="s">
        <v>143</v>
      </c>
      <c r="B79" s="42" t="s">
        <v>30</v>
      </c>
      <c r="C79" s="51">
        <f>93600000/1000</f>
        <v>93600</v>
      </c>
      <c r="D79" s="52">
        <f t="shared" si="7"/>
        <v>88293.8</v>
      </c>
      <c r="E79" s="52">
        <f>88293800/1000</f>
        <v>88293.8</v>
      </c>
      <c r="F79" s="53">
        <f>88192303.8/1000</f>
        <v>88192.303799999994</v>
      </c>
      <c r="G79" s="33"/>
      <c r="H79" s="85"/>
    </row>
    <row r="80" spans="1:8" s="34" customFormat="1" ht="81" customHeight="1" outlineLevel="1" x14ac:dyDescent="0.25">
      <c r="A80" s="41" t="s">
        <v>53</v>
      </c>
      <c r="B80" s="42" t="s">
        <v>54</v>
      </c>
      <c r="C80" s="51">
        <f>28882000/1000</f>
        <v>28882</v>
      </c>
      <c r="D80" s="52">
        <f t="shared" si="7"/>
        <v>24858.893</v>
      </c>
      <c r="E80" s="52">
        <f>24858893/1000</f>
        <v>24858.893</v>
      </c>
      <c r="F80" s="53">
        <f>23018845.08/1000</f>
        <v>23018.845079999999</v>
      </c>
      <c r="G80" s="33"/>
      <c r="H80" s="85"/>
    </row>
    <row r="81" spans="1:8" s="34" customFormat="1" ht="67.5" customHeight="1" outlineLevel="1" x14ac:dyDescent="0.25">
      <c r="A81" s="41" t="s">
        <v>60</v>
      </c>
      <c r="B81" s="42" t="s">
        <v>56</v>
      </c>
      <c r="C81" s="51">
        <f>2203000/1000</f>
        <v>2203</v>
      </c>
      <c r="D81" s="52">
        <f t="shared" ref="D81:D88" si="8">E81</f>
        <v>1337.9069999999999</v>
      </c>
      <c r="E81" s="52">
        <f>1337907/1000</f>
        <v>1337.9069999999999</v>
      </c>
      <c r="F81" s="53">
        <f>1337845.96/1000</f>
        <v>1337.8459599999999</v>
      </c>
      <c r="G81" s="33"/>
      <c r="H81" s="85"/>
    </row>
    <row r="82" spans="1:8" s="34" customFormat="1" ht="30.75" customHeight="1" outlineLevel="1" x14ac:dyDescent="0.25">
      <c r="A82" s="41" t="s">
        <v>55</v>
      </c>
      <c r="B82" s="42" t="s">
        <v>61</v>
      </c>
      <c r="C82" s="51">
        <f>56000/1000</f>
        <v>56</v>
      </c>
      <c r="D82" s="52">
        <f>E82</f>
        <v>10</v>
      </c>
      <c r="E82" s="52">
        <f>10000/1000</f>
        <v>10</v>
      </c>
      <c r="F82" s="53">
        <f>9500/1000</f>
        <v>9.5</v>
      </c>
      <c r="G82" s="33"/>
      <c r="H82" s="85"/>
    </row>
    <row r="83" spans="1:8" s="34" customFormat="1" ht="29.25" customHeight="1" outlineLevel="1" x14ac:dyDescent="0.25">
      <c r="A83" s="41" t="s">
        <v>158</v>
      </c>
      <c r="B83" s="42" t="s">
        <v>31</v>
      </c>
      <c r="C83" s="51">
        <f>52366600/1000</f>
        <v>52366.6</v>
      </c>
      <c r="D83" s="52">
        <f>E83</f>
        <v>52465.1</v>
      </c>
      <c r="E83" s="52">
        <f>52465100/1000</f>
        <v>52465.1</v>
      </c>
      <c r="F83" s="53">
        <f>52465100/1000</f>
        <v>52465.1</v>
      </c>
      <c r="G83" s="33"/>
      <c r="H83" s="85"/>
    </row>
    <row r="84" spans="1:8" s="34" customFormat="1" ht="45" customHeight="1" outlineLevel="1" x14ac:dyDescent="0.25">
      <c r="A84" s="41" t="s">
        <v>159</v>
      </c>
      <c r="B84" s="42" t="s">
        <v>32</v>
      </c>
      <c r="C84" s="51">
        <f>330500/1000</f>
        <v>330.5</v>
      </c>
      <c r="D84" s="52">
        <f>E84</f>
        <v>330.5</v>
      </c>
      <c r="E84" s="52">
        <f>330500/1000</f>
        <v>330.5</v>
      </c>
      <c r="F84" s="53">
        <f>330500/1000</f>
        <v>330.5</v>
      </c>
      <c r="G84" s="33"/>
      <c r="H84" s="85"/>
    </row>
    <row r="85" spans="1:8" s="34" customFormat="1" ht="33" customHeight="1" outlineLevel="1" x14ac:dyDescent="0.25">
      <c r="A85" s="41" t="s">
        <v>153</v>
      </c>
      <c r="B85" s="42" t="s">
        <v>33</v>
      </c>
      <c r="C85" s="51">
        <f>828000/1000</f>
        <v>828</v>
      </c>
      <c r="D85" s="52">
        <v>337.75</v>
      </c>
      <c r="E85" s="52">
        <v>337.75</v>
      </c>
      <c r="F85" s="53">
        <v>334.87</v>
      </c>
      <c r="G85" s="33"/>
      <c r="H85" s="85"/>
    </row>
    <row r="86" spans="1:8" s="34" customFormat="1" ht="51" outlineLevel="1" x14ac:dyDescent="0.25">
      <c r="A86" s="41" t="s">
        <v>156</v>
      </c>
      <c r="B86" s="42" t="s">
        <v>34</v>
      </c>
      <c r="C86" s="51">
        <f>1006000/1000</f>
        <v>1006</v>
      </c>
      <c r="D86" s="52">
        <f>E86</f>
        <v>1006</v>
      </c>
      <c r="E86" s="52">
        <f>1006000/1000</f>
        <v>1006</v>
      </c>
      <c r="F86" s="53">
        <f>1006000/1000</f>
        <v>1006</v>
      </c>
      <c r="G86" s="33"/>
      <c r="H86" s="85"/>
    </row>
    <row r="87" spans="1:8" s="34" customFormat="1" ht="59.25" customHeight="1" outlineLevel="1" x14ac:dyDescent="0.25">
      <c r="A87" s="43" t="s">
        <v>150</v>
      </c>
      <c r="B87" s="42" t="s">
        <v>35</v>
      </c>
      <c r="C87" s="59">
        <f>468000/1000</f>
        <v>468</v>
      </c>
      <c r="D87" s="52">
        <f t="shared" si="8"/>
        <v>278</v>
      </c>
      <c r="E87" s="52">
        <f>278000/1000</f>
        <v>278</v>
      </c>
      <c r="F87" s="53">
        <f>253089.05/1000</f>
        <v>253.08904999999999</v>
      </c>
      <c r="G87" s="33"/>
      <c r="H87" s="85"/>
    </row>
    <row r="88" spans="1:8" ht="31.5" customHeight="1" outlineLevel="1" thickBot="1" x14ac:dyDescent="0.3">
      <c r="A88" s="31" t="s">
        <v>57</v>
      </c>
      <c r="B88" s="24" t="s">
        <v>62</v>
      </c>
      <c r="C88" s="54">
        <f>22713000/1000</f>
        <v>22713</v>
      </c>
      <c r="D88" s="55">
        <f t="shared" si="8"/>
        <v>23816.2</v>
      </c>
      <c r="E88" s="55">
        <f>23816200/1000</f>
        <v>23816.2</v>
      </c>
      <c r="F88" s="56">
        <f>23460738/1000</f>
        <v>23460.738000000001</v>
      </c>
      <c r="G88" s="4"/>
      <c r="H88" s="85"/>
    </row>
    <row r="89" spans="1:8" ht="20.25" customHeight="1" x14ac:dyDescent="0.25">
      <c r="A89" s="37" t="s">
        <v>36</v>
      </c>
      <c r="B89" s="38"/>
      <c r="C89" s="57">
        <f>SUM(C90:C114)</f>
        <v>38682.300000000003</v>
      </c>
      <c r="D89" s="57">
        <f t="shared" ref="D89:F89" si="9">SUM(D90:D114)</f>
        <v>2636933.4764999999</v>
      </c>
      <c r="E89" s="57">
        <f t="shared" si="9"/>
        <v>2636933.4764999999</v>
      </c>
      <c r="F89" s="58">
        <f t="shared" si="9"/>
        <v>2407286.48765</v>
      </c>
      <c r="G89" s="4"/>
      <c r="H89" s="85"/>
    </row>
    <row r="90" spans="1:8" s="34" customFormat="1" ht="21" customHeight="1" outlineLevel="1" x14ac:dyDescent="0.25">
      <c r="A90" s="22" t="s">
        <v>194</v>
      </c>
      <c r="B90" s="23" t="s">
        <v>195</v>
      </c>
      <c r="C90" s="51">
        <v>0</v>
      </c>
      <c r="D90" s="62">
        <f t="shared" ref="D90:D113" si="10">E90</f>
        <v>144969.75</v>
      </c>
      <c r="E90" s="52">
        <f>144969750/1000</f>
        <v>144969.75</v>
      </c>
      <c r="F90" s="53">
        <f>140529266.39/1000</f>
        <v>140529.26638999998</v>
      </c>
      <c r="G90" s="33"/>
      <c r="H90" s="85"/>
    </row>
    <row r="91" spans="1:8" s="34" customFormat="1" ht="44.25" customHeight="1" outlineLevel="1" x14ac:dyDescent="0.25">
      <c r="A91" s="22" t="s">
        <v>189</v>
      </c>
      <c r="B91" s="23" t="s">
        <v>190</v>
      </c>
      <c r="C91" s="51">
        <v>0</v>
      </c>
      <c r="D91" s="62">
        <f t="shared" si="10"/>
        <v>4827</v>
      </c>
      <c r="E91" s="52">
        <f>4827000/1000</f>
        <v>4827</v>
      </c>
      <c r="F91" s="53">
        <f>2358600/1000</f>
        <v>2358.6</v>
      </c>
      <c r="G91" s="33"/>
      <c r="H91" s="85"/>
    </row>
    <row r="92" spans="1:8" s="34" customFormat="1" ht="55.5" customHeight="1" outlineLevel="1" x14ac:dyDescent="0.25">
      <c r="A92" s="32" t="s">
        <v>175</v>
      </c>
      <c r="B92" s="23" t="s">
        <v>176</v>
      </c>
      <c r="C92" s="51">
        <v>0</v>
      </c>
      <c r="D92" s="62">
        <f t="shared" si="10"/>
        <v>655300.31000000006</v>
      </c>
      <c r="E92" s="52">
        <f>655300310/1000</f>
        <v>655300.31000000006</v>
      </c>
      <c r="F92" s="53">
        <f>655270609.94/1000</f>
        <v>655270.60994000011</v>
      </c>
      <c r="G92" s="33"/>
      <c r="H92" s="85"/>
    </row>
    <row r="93" spans="1:8" s="34" customFormat="1" ht="42" customHeight="1" outlineLevel="1" x14ac:dyDescent="0.25">
      <c r="A93" s="22" t="s">
        <v>141</v>
      </c>
      <c r="B93" s="23" t="s">
        <v>142</v>
      </c>
      <c r="C93" s="51">
        <v>0</v>
      </c>
      <c r="D93" s="62">
        <f t="shared" si="10"/>
        <v>690737.17299999995</v>
      </c>
      <c r="E93" s="52">
        <f>690737173/1000</f>
        <v>690737.17299999995</v>
      </c>
      <c r="F93" s="53">
        <f>656128866.86/1000</f>
        <v>656128.86686000007</v>
      </c>
      <c r="G93" s="33"/>
      <c r="H93" s="85"/>
    </row>
    <row r="94" spans="1:8" s="34" customFormat="1" ht="29.25" customHeight="1" x14ac:dyDescent="0.25">
      <c r="A94" s="30" t="s">
        <v>164</v>
      </c>
      <c r="B94" s="25" t="s">
        <v>165</v>
      </c>
      <c r="C94" s="62">
        <v>0</v>
      </c>
      <c r="D94" s="62">
        <f t="shared" si="10"/>
        <v>5413.402</v>
      </c>
      <c r="E94" s="62">
        <f>5413402/1000</f>
        <v>5413.402</v>
      </c>
      <c r="F94" s="63">
        <f>1881498.04/1000</f>
        <v>1881.4980399999999</v>
      </c>
      <c r="G94" s="33"/>
      <c r="H94" s="85"/>
    </row>
    <row r="95" spans="1:8" s="34" customFormat="1" ht="36.75" customHeight="1" outlineLevel="1" x14ac:dyDescent="0.25">
      <c r="A95" s="67" t="s">
        <v>175</v>
      </c>
      <c r="B95" s="23" t="s">
        <v>177</v>
      </c>
      <c r="C95" s="51">
        <v>0</v>
      </c>
      <c r="D95" s="62">
        <f t="shared" si="10"/>
        <v>28758.074479999999</v>
      </c>
      <c r="E95" s="52">
        <f>28758074.48/1000</f>
        <v>28758.074479999999</v>
      </c>
      <c r="F95" s="53">
        <f>28758074.48/1000</f>
        <v>28758.074479999999</v>
      </c>
      <c r="G95" s="33"/>
      <c r="H95" s="85"/>
    </row>
    <row r="96" spans="1:8" s="34" customFormat="1" ht="34.5" customHeight="1" outlineLevel="1" x14ac:dyDescent="0.25">
      <c r="A96" s="68"/>
      <c r="B96" s="23" t="s">
        <v>183</v>
      </c>
      <c r="C96" s="51">
        <v>0</v>
      </c>
      <c r="D96" s="62">
        <f t="shared" si="10"/>
        <v>290.48437999999999</v>
      </c>
      <c r="E96" s="52">
        <f>290484.38/1000</f>
        <v>290.48437999999999</v>
      </c>
      <c r="F96" s="53">
        <f>290484.38/1000</f>
        <v>290.48437999999999</v>
      </c>
      <c r="G96" s="33"/>
      <c r="H96" s="85"/>
    </row>
    <row r="97" spans="1:8" s="34" customFormat="1" ht="18" customHeight="1" x14ac:dyDescent="0.25">
      <c r="A97" s="41" t="s">
        <v>168</v>
      </c>
      <c r="B97" s="46" t="s">
        <v>169</v>
      </c>
      <c r="C97" s="62">
        <v>0</v>
      </c>
      <c r="D97" s="62">
        <f t="shared" si="10"/>
        <v>200</v>
      </c>
      <c r="E97" s="62">
        <f>200000/1000</f>
        <v>200</v>
      </c>
      <c r="F97" s="63">
        <f>200000/1000</f>
        <v>200</v>
      </c>
      <c r="G97" s="33"/>
      <c r="H97" s="85"/>
    </row>
    <row r="98" spans="1:8" s="34" customFormat="1" ht="52.5" customHeight="1" outlineLevel="1" x14ac:dyDescent="0.25">
      <c r="A98" s="32" t="s">
        <v>175</v>
      </c>
      <c r="B98" s="23" t="s">
        <v>178</v>
      </c>
      <c r="C98" s="51">
        <v>0</v>
      </c>
      <c r="D98" s="62">
        <f t="shared" si="10"/>
        <v>280363.56666000001</v>
      </c>
      <c r="E98" s="52">
        <f>280363566.66/1000</f>
        <v>280363.56666000001</v>
      </c>
      <c r="F98" s="53">
        <f>280363566.66/1000</f>
        <v>280363.56666000001</v>
      </c>
      <c r="G98" s="33"/>
      <c r="H98" s="85"/>
    </row>
    <row r="99" spans="1:8" s="34" customFormat="1" ht="42.75" customHeight="1" x14ac:dyDescent="0.25">
      <c r="A99" s="41" t="s">
        <v>166</v>
      </c>
      <c r="B99" s="46" t="s">
        <v>167</v>
      </c>
      <c r="C99" s="62">
        <v>0</v>
      </c>
      <c r="D99" s="62">
        <f t="shared" si="10"/>
        <v>262727.3</v>
      </c>
      <c r="E99" s="62">
        <f>262727300/1000</f>
        <v>262727.3</v>
      </c>
      <c r="F99" s="63">
        <f>186499440.97/1000</f>
        <v>186499.44097</v>
      </c>
      <c r="G99" s="33"/>
      <c r="H99" s="85"/>
    </row>
    <row r="100" spans="1:8" s="34" customFormat="1" ht="33" customHeight="1" outlineLevel="1" x14ac:dyDescent="0.25">
      <c r="A100" s="69" t="s">
        <v>175</v>
      </c>
      <c r="B100" s="23" t="s">
        <v>184</v>
      </c>
      <c r="C100" s="51">
        <v>0</v>
      </c>
      <c r="D100" s="62">
        <f t="shared" si="10"/>
        <v>6258.8764900000006</v>
      </c>
      <c r="E100" s="52">
        <f>6258876.49/1000</f>
        <v>6258.8764900000006</v>
      </c>
      <c r="F100" s="53">
        <f>6258876.49/1000</f>
        <v>6258.8764900000006</v>
      </c>
      <c r="G100" s="33"/>
      <c r="H100" s="85"/>
    </row>
    <row r="101" spans="1:8" s="34" customFormat="1" ht="38.25" customHeight="1" outlineLevel="1" x14ac:dyDescent="0.25">
      <c r="A101" s="70"/>
      <c r="B101" s="23" t="s">
        <v>179</v>
      </c>
      <c r="C101" s="51">
        <v>0</v>
      </c>
      <c r="D101" s="62">
        <f t="shared" si="10"/>
        <v>62582.01298</v>
      </c>
      <c r="E101" s="52">
        <f>62582012.98/1000</f>
        <v>62582.01298</v>
      </c>
      <c r="F101" s="53">
        <f>62582012.98/1000</f>
        <v>62582.01298</v>
      </c>
      <c r="G101" s="33"/>
      <c r="H101" s="85"/>
    </row>
    <row r="102" spans="1:8" s="34" customFormat="1" ht="34.5" customHeight="1" outlineLevel="1" x14ac:dyDescent="0.25">
      <c r="A102" s="70"/>
      <c r="B102" s="23" t="s">
        <v>185</v>
      </c>
      <c r="C102" s="51">
        <v>0</v>
      </c>
      <c r="D102" s="62">
        <f t="shared" si="10"/>
        <v>632.12417000000005</v>
      </c>
      <c r="E102" s="52">
        <f>632124.17/1000</f>
        <v>632.12417000000005</v>
      </c>
      <c r="F102" s="53">
        <f>632124.17/1000</f>
        <v>632.12417000000005</v>
      </c>
      <c r="G102" s="33"/>
      <c r="H102" s="85"/>
    </row>
    <row r="103" spans="1:8" s="34" customFormat="1" ht="36.75" customHeight="1" outlineLevel="1" x14ac:dyDescent="0.25">
      <c r="A103" s="70"/>
      <c r="B103" s="23" t="s">
        <v>180</v>
      </c>
      <c r="C103" s="51">
        <v>0</v>
      </c>
      <c r="D103" s="62">
        <f t="shared" si="10"/>
        <v>105919.04700000001</v>
      </c>
      <c r="E103" s="52">
        <f>105919047/1000</f>
        <v>105919.04700000001</v>
      </c>
      <c r="F103" s="53">
        <f>105919047/1000</f>
        <v>105919.04700000001</v>
      </c>
      <c r="G103" s="33"/>
      <c r="H103" s="85"/>
    </row>
    <row r="104" spans="1:8" s="34" customFormat="1" ht="39" customHeight="1" outlineLevel="1" x14ac:dyDescent="0.25">
      <c r="A104" s="68"/>
      <c r="B104" s="23" t="s">
        <v>186</v>
      </c>
      <c r="C104" s="51">
        <v>0</v>
      </c>
      <c r="D104" s="62">
        <f t="shared" si="10"/>
        <v>2322.0903399999997</v>
      </c>
      <c r="E104" s="52">
        <f>2322090.34/1000</f>
        <v>2322.0903399999997</v>
      </c>
      <c r="F104" s="53">
        <f>2322090.34/1000</f>
        <v>2322.0903399999997</v>
      </c>
      <c r="G104" s="33"/>
      <c r="H104" s="85"/>
    </row>
    <row r="105" spans="1:8" s="34" customFormat="1" ht="38.25" x14ac:dyDescent="0.25">
      <c r="A105" s="41" t="s">
        <v>170</v>
      </c>
      <c r="B105" s="46" t="s">
        <v>171</v>
      </c>
      <c r="C105" s="62">
        <f>38432300/1000</f>
        <v>38432.300000000003</v>
      </c>
      <c r="D105" s="62">
        <f t="shared" si="10"/>
        <v>76266.84</v>
      </c>
      <c r="E105" s="62">
        <f>76266840/1000</f>
        <v>76266.84</v>
      </c>
      <c r="F105" s="63">
        <f>76266814.45/1000</f>
        <v>76266.814450000005</v>
      </c>
      <c r="G105" s="33"/>
      <c r="H105" s="85"/>
    </row>
    <row r="106" spans="1:8" s="34" customFormat="1" ht="25.5" customHeight="1" outlineLevel="1" x14ac:dyDescent="0.25">
      <c r="A106" s="71" t="s">
        <v>175</v>
      </c>
      <c r="B106" s="47" t="s">
        <v>181</v>
      </c>
      <c r="C106" s="51">
        <v>0</v>
      </c>
      <c r="D106" s="62">
        <f t="shared" si="10"/>
        <v>29936.2</v>
      </c>
      <c r="E106" s="52">
        <f>29936200/1000</f>
        <v>29936.2</v>
      </c>
      <c r="F106" s="53">
        <f>21959583/1000</f>
        <v>21959.582999999999</v>
      </c>
      <c r="G106" s="33"/>
      <c r="H106" s="85"/>
    </row>
    <row r="107" spans="1:8" s="34" customFormat="1" ht="29.25" customHeight="1" outlineLevel="1" x14ac:dyDescent="0.25">
      <c r="A107" s="71"/>
      <c r="B107" s="47" t="s">
        <v>187</v>
      </c>
      <c r="C107" s="51">
        <v>0</v>
      </c>
      <c r="D107" s="62">
        <f t="shared" si="10"/>
        <v>0.23200000000000001</v>
      </c>
      <c r="E107" s="52">
        <f>232/1000</f>
        <v>0.23200000000000001</v>
      </c>
      <c r="F107" s="53">
        <v>0</v>
      </c>
      <c r="G107" s="33"/>
      <c r="H107" s="85"/>
    </row>
    <row r="108" spans="1:8" s="34" customFormat="1" ht="27.75" customHeight="1" outlineLevel="1" x14ac:dyDescent="0.25">
      <c r="A108" s="71"/>
      <c r="B108" s="47" t="s">
        <v>182</v>
      </c>
      <c r="C108" s="51">
        <v>0</v>
      </c>
      <c r="D108" s="62">
        <f t="shared" si="10"/>
        <v>81069.628920000003</v>
      </c>
      <c r="E108" s="52">
        <f>81069628.92/1000</f>
        <v>81069.628920000003</v>
      </c>
      <c r="F108" s="53">
        <f>80920730.96/1000</f>
        <v>80920.730959999986</v>
      </c>
      <c r="G108" s="33"/>
      <c r="H108" s="85"/>
    </row>
    <row r="109" spans="1:8" s="34" customFormat="1" ht="26.25" customHeight="1" outlineLevel="1" x14ac:dyDescent="0.25">
      <c r="A109" s="71"/>
      <c r="B109" s="47" t="s">
        <v>188</v>
      </c>
      <c r="C109" s="51">
        <v>0</v>
      </c>
      <c r="D109" s="62">
        <f t="shared" si="10"/>
        <v>818.88777000000005</v>
      </c>
      <c r="E109" s="52">
        <f>818887.77/1000</f>
        <v>818.88777000000005</v>
      </c>
      <c r="F109" s="53">
        <f>815292.09/1000</f>
        <v>815.29208999999992</v>
      </c>
      <c r="G109" s="33"/>
      <c r="H109" s="85"/>
    </row>
    <row r="110" spans="1:8" s="34" customFormat="1" ht="46.5" customHeight="1" outlineLevel="1" x14ac:dyDescent="0.25">
      <c r="A110" s="30" t="s">
        <v>192</v>
      </c>
      <c r="B110" s="23" t="s">
        <v>193</v>
      </c>
      <c r="C110" s="51">
        <v>0</v>
      </c>
      <c r="D110" s="62">
        <f t="shared" si="10"/>
        <v>60000</v>
      </c>
      <c r="E110" s="52">
        <f>60000000/1000</f>
        <v>60000</v>
      </c>
      <c r="F110" s="53">
        <f>1400000/1000</f>
        <v>1400</v>
      </c>
      <c r="G110" s="33"/>
      <c r="H110" s="85"/>
    </row>
    <row r="111" spans="1:8" s="34" customFormat="1" ht="28.5" customHeight="1" outlineLevel="1" x14ac:dyDescent="0.25">
      <c r="A111" s="22" t="s">
        <v>191</v>
      </c>
      <c r="B111" s="23" t="s">
        <v>37</v>
      </c>
      <c r="C111" s="51">
        <v>0</v>
      </c>
      <c r="D111" s="62">
        <f t="shared" si="10"/>
        <v>62169.676310000003</v>
      </c>
      <c r="E111" s="52">
        <f>62169676.31/1000</f>
        <v>62169.676310000003</v>
      </c>
      <c r="F111" s="53">
        <f>58967517.45/1000</f>
        <v>58967.517449999999</v>
      </c>
      <c r="G111" s="33"/>
      <c r="H111" s="85"/>
    </row>
    <row r="112" spans="1:8" s="34" customFormat="1" ht="38.25" outlineLevel="1" x14ac:dyDescent="0.25">
      <c r="A112" s="22" t="s">
        <v>172</v>
      </c>
      <c r="B112" s="23" t="s">
        <v>38</v>
      </c>
      <c r="C112" s="51">
        <v>0</v>
      </c>
      <c r="D112" s="62">
        <f t="shared" si="10"/>
        <v>17250</v>
      </c>
      <c r="E112" s="52">
        <f>17250000/1000</f>
        <v>17250</v>
      </c>
      <c r="F112" s="53">
        <f>17250000/1000</f>
        <v>17250</v>
      </c>
      <c r="G112" s="33"/>
      <c r="H112" s="85"/>
    </row>
    <row r="113" spans="1:8" ht="43.5" customHeight="1" x14ac:dyDescent="0.25">
      <c r="A113" s="30" t="s">
        <v>64</v>
      </c>
      <c r="B113" s="25" t="s">
        <v>65</v>
      </c>
      <c r="C113" s="62">
        <f>250000/1000</f>
        <v>250</v>
      </c>
      <c r="D113" s="62">
        <f t="shared" si="10"/>
        <v>0</v>
      </c>
      <c r="E113" s="62">
        <v>0</v>
      </c>
      <c r="F113" s="63">
        <v>0</v>
      </c>
      <c r="G113" s="4"/>
      <c r="H113" s="85"/>
    </row>
    <row r="114" spans="1:8" ht="51.75" outlineLevel="1" thickBot="1" x14ac:dyDescent="0.3">
      <c r="A114" s="39" t="s">
        <v>173</v>
      </c>
      <c r="B114" s="40" t="s">
        <v>174</v>
      </c>
      <c r="C114" s="54">
        <v>0</v>
      </c>
      <c r="D114" s="64">
        <f t="shared" ref="D114" si="11">E114</f>
        <v>58120.800000000003</v>
      </c>
      <c r="E114" s="55">
        <f>58120800/1000</f>
        <v>58120.800000000003</v>
      </c>
      <c r="F114" s="56">
        <f>19711991/1000</f>
        <v>19711.991000000002</v>
      </c>
      <c r="G114" s="4"/>
      <c r="H114" s="85"/>
    </row>
    <row r="115" spans="1:8" s="6" customFormat="1" ht="22.5" customHeight="1" thickBot="1" x14ac:dyDescent="0.3">
      <c r="A115" s="35" t="s">
        <v>40</v>
      </c>
      <c r="B115" s="36"/>
      <c r="C115" s="65">
        <f>C7+C12+C62+C89</f>
        <v>17543741.859000001</v>
      </c>
      <c r="D115" s="65">
        <f>D7+D12+D62+D89</f>
        <v>28094735.277109999</v>
      </c>
      <c r="E115" s="65">
        <f>E7+E12+E62+E89</f>
        <v>28094735.277109999</v>
      </c>
      <c r="F115" s="66">
        <f>F7+F12+F62+F89</f>
        <v>26961827.409319997</v>
      </c>
      <c r="G115" s="5"/>
      <c r="H115" s="86"/>
    </row>
    <row r="116" spans="1:8" x14ac:dyDescent="0.25">
      <c r="A116" s="16"/>
      <c r="B116" s="16"/>
      <c r="C116" s="8"/>
      <c r="D116" s="9"/>
      <c r="E116" s="10"/>
      <c r="F116" s="8"/>
      <c r="G116" s="4"/>
    </row>
    <row r="119" spans="1:8" x14ac:dyDescent="0.25">
      <c r="C119" s="13"/>
      <c r="E119" s="15"/>
      <c r="F119" s="15"/>
    </row>
    <row r="120" spans="1:8" x14ac:dyDescent="0.25">
      <c r="C120" s="14"/>
    </row>
  </sheetData>
  <autoFilter ref="A6:G115"/>
  <mergeCells count="13">
    <mergeCell ref="E4:E5"/>
    <mergeCell ref="F4:F5"/>
    <mergeCell ref="A1:F1"/>
    <mergeCell ref="A2:F2"/>
    <mergeCell ref="A3:B3"/>
    <mergeCell ref="A4:A5"/>
    <mergeCell ref="B4:B5"/>
    <mergeCell ref="D4:D5"/>
    <mergeCell ref="A95:A96"/>
    <mergeCell ref="A100:A104"/>
    <mergeCell ref="A106:A109"/>
    <mergeCell ref="A47:A48"/>
    <mergeCell ref="C4:C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2020-07-20T23:45:29Z</cp:lastPrinted>
  <dcterms:created xsi:type="dcterms:W3CDTF">2018-08-03T02:45:07Z</dcterms:created>
  <dcterms:modified xsi:type="dcterms:W3CDTF">2020-08-03T04:45:43Z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